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ichValueRel.xml" ContentType="application/vnd.ms-excel.richvaluerel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YL\Downloads\"/>
    </mc:Choice>
  </mc:AlternateContent>
  <workbookProtection workbookPassword="CF82" lockStructure="1"/>
  <bookViews>
    <workbookView xWindow="28680" yWindow="-120" windowWidth="29040" windowHeight="15720" tabRatio="828"/>
  </bookViews>
  <sheets>
    <sheet name="IMPACTS RIOGA" sheetId="14" r:id="rId1"/>
    <sheet name="TOTAUX" sheetId="15" state="hidden" r:id="rId2"/>
    <sheet name="Feuil3" sheetId="3" state="hidden" r:id="rId3"/>
    <sheet name="15-PODO" sheetId="19" state="hidden" r:id="rId4"/>
    <sheet name="14-Avocats" sheetId="18" state="hidden" r:id="rId5"/>
    <sheet name="13-AGENT D'ASS" sheetId="17" state="hidden" r:id="rId6"/>
    <sheet name="Chiffres " sheetId="1" state="hidden" r:id="rId7"/>
    <sheet name="1-ARTISAN" sheetId="11" state="hidden" r:id="rId8"/>
    <sheet name="2-ARTISTES" sheetId="12" state="hidden" r:id="rId9"/>
    <sheet name="3-Chir_dent" sheetId="6" state="hidden" r:id="rId10"/>
    <sheet name="4-COMMERCANT" sheetId="13" state="hidden" r:id="rId11"/>
    <sheet name="5-EC_CAC" sheetId="8" state="hidden" r:id="rId12"/>
    <sheet name="6-MédS1" sheetId="2" state="hidden" r:id="rId13"/>
    <sheet name="7-MédS2" sheetId="4" state="hidden" r:id="rId14"/>
    <sheet name="8-PAM" sheetId="5" state="hidden" r:id="rId15"/>
    <sheet name="9-CIPAV" sheetId="9" state="hidden" r:id="rId16"/>
    <sheet name="10-BNC-SSI" sheetId="16" state="hidden" r:id="rId17"/>
    <sheet name="11-SF" sheetId="10" state="hidden" r:id="rId18"/>
    <sheet name="12-VETO" sheetId="7" state="hidden" r:id="rId19"/>
  </sheets>
  <definedNames>
    <definedName name="ACTIVITE">Feuil3!$B$1:$B$15</definedName>
    <definedName name="ANNEE_AVOCAT">'Chiffres '!$R$1:$R$6</definedName>
    <definedName name="CAS">Feuil3!$E$1</definedName>
    <definedName name="CLASSE_CNBF">'Chiffres '!$V$1:$V$4</definedName>
    <definedName name="CSP_OBLIG">'Chiffres '!$D$4</definedName>
    <definedName name="OUI_NON">Feuil3!$G$29:$G$31</definedName>
    <definedName name="PASS">'Chiffres '!$B$11</definedName>
    <definedName name="PASS_040">'Chiffres '!$B$13</definedName>
    <definedName name="PASS_060">'Chiffres '!$B$14</definedName>
    <definedName name="PASS_110">'Chiffres '!$B$15</definedName>
    <definedName name="PASS_140">'Chiffres '!$B$16</definedName>
    <definedName name="PASS_300">'Chiffres '!$B$17</definedName>
    <definedName name="PASS_500">'Chiffres '!$B$18</definedName>
    <definedName name="REV_CONV">'Chiffres '!$D$1</definedName>
    <definedName name="REV_CONV_RIOGA">'Chiffres '!$G$1</definedName>
    <definedName name="REVENU">'Chiffres '!$D$2</definedName>
    <definedName name="REVENU_RIOGA">'Chiffres '!$G$2</definedName>
    <definedName name="RIOGA">'Chiffres '!$D$5</definedName>
    <definedName name="TAUX_IR">Feuil3!$B$32:$B$36</definedName>
    <definedName name="TAUX_marginal">Feuil3!$J$7</definedName>
    <definedName name="_xlnm.Print_Area" localSheetId="0">'IMPACTS RIOGA'!$A$1:$R$58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D312" i="15" l="1"/>
  <c r="E312" i="15"/>
  <c r="F312" i="15"/>
  <c r="G312" i="15"/>
  <c r="H312" i="15"/>
  <c r="I312" i="15"/>
  <c r="K312" i="15"/>
  <c r="L312" i="15"/>
  <c r="M312" i="15"/>
  <c r="N312" i="15"/>
  <c r="O312" i="15"/>
  <c r="P312" i="15"/>
  <c r="Q312" i="15"/>
  <c r="C312" i="15"/>
  <c r="D294" i="15"/>
  <c r="E294" i="15"/>
  <c r="F294" i="15"/>
  <c r="G294" i="15"/>
  <c r="H294" i="15"/>
  <c r="K294" i="15"/>
  <c r="L294" i="15"/>
  <c r="M294" i="15"/>
  <c r="N294" i="15"/>
  <c r="O294" i="15"/>
  <c r="P294" i="15"/>
  <c r="C294" i="15"/>
  <c r="E276" i="15"/>
  <c r="G276" i="15"/>
  <c r="H276" i="15"/>
  <c r="K276" i="15"/>
  <c r="M276" i="15"/>
  <c r="O276" i="15"/>
  <c r="P276" i="15"/>
  <c r="C276" i="15"/>
  <c r="D258" i="15"/>
  <c r="E258" i="15"/>
  <c r="F258" i="15"/>
  <c r="G258" i="15"/>
  <c r="H258" i="15"/>
  <c r="K258" i="15"/>
  <c r="L258" i="15"/>
  <c r="M258" i="15"/>
  <c r="N258" i="15"/>
  <c r="O258" i="15"/>
  <c r="P258" i="15"/>
  <c r="Q258" i="15"/>
  <c r="C258" i="15"/>
  <c r="D240" i="15"/>
  <c r="E240" i="15"/>
  <c r="F240" i="15"/>
  <c r="G240" i="15"/>
  <c r="H240" i="15"/>
  <c r="I240" i="15"/>
  <c r="K240" i="15"/>
  <c r="L240" i="15"/>
  <c r="M240" i="15"/>
  <c r="N240" i="15"/>
  <c r="O240" i="15"/>
  <c r="P240" i="15"/>
  <c r="Q240" i="15"/>
  <c r="C240" i="15"/>
  <c r="E222" i="15"/>
  <c r="G222" i="15"/>
  <c r="H222" i="15"/>
  <c r="K222" i="15"/>
  <c r="M222" i="15"/>
  <c r="O222" i="15"/>
  <c r="P222" i="15"/>
  <c r="C222" i="15"/>
  <c r="D204" i="15"/>
  <c r="E204" i="15"/>
  <c r="F204" i="15"/>
  <c r="G204" i="15"/>
  <c r="H204" i="15"/>
  <c r="I204" i="15"/>
  <c r="K204" i="15"/>
  <c r="L204" i="15"/>
  <c r="M204" i="15"/>
  <c r="N204" i="15"/>
  <c r="O204" i="15"/>
  <c r="P204" i="15"/>
  <c r="Q204" i="15"/>
  <c r="C204" i="15"/>
  <c r="G186" i="15"/>
  <c r="H186" i="15"/>
  <c r="K186" i="15"/>
  <c r="O186" i="15"/>
  <c r="P186" i="15"/>
  <c r="C186" i="15"/>
  <c r="G168" i="15"/>
  <c r="H168" i="15"/>
  <c r="K168" i="15"/>
  <c r="O168" i="15"/>
  <c r="P168" i="15"/>
  <c r="C168" i="15"/>
  <c r="D150" i="15"/>
  <c r="E150" i="15"/>
  <c r="F150" i="15"/>
  <c r="G150" i="15"/>
  <c r="H150" i="15"/>
  <c r="K150" i="15"/>
  <c r="L150" i="15"/>
  <c r="M150" i="15"/>
  <c r="N150" i="15"/>
  <c r="O150" i="15"/>
  <c r="P150" i="15"/>
  <c r="C150" i="15"/>
  <c r="E132" i="15"/>
  <c r="G132" i="15"/>
  <c r="H132" i="15"/>
  <c r="K132" i="15"/>
  <c r="M132" i="15"/>
  <c r="O132" i="15"/>
  <c r="P132" i="15"/>
  <c r="C132" i="15"/>
  <c r="G114" i="15"/>
  <c r="H114" i="15"/>
  <c r="O114" i="15"/>
  <c r="P114" i="15"/>
  <c r="D96" i="15"/>
  <c r="E96" i="15"/>
  <c r="F96" i="15"/>
  <c r="G96" i="15"/>
  <c r="H96" i="15"/>
  <c r="I96" i="15"/>
  <c r="K96" i="15"/>
  <c r="L96" i="15"/>
  <c r="M96" i="15"/>
  <c r="N96" i="15"/>
  <c r="O96" i="15"/>
  <c r="P96" i="15"/>
  <c r="Q96" i="15"/>
  <c r="C96" i="15"/>
  <c r="G78" i="15"/>
  <c r="H78" i="15"/>
  <c r="K78" i="15"/>
  <c r="O78" i="15"/>
  <c r="P78" i="15"/>
  <c r="C78" i="15"/>
  <c r="E60" i="15"/>
  <c r="G60" i="15"/>
  <c r="H60" i="15"/>
  <c r="K60" i="15"/>
  <c r="O60" i="15"/>
  <c r="P60" i="15"/>
  <c r="C60" i="15"/>
  <c r="G42" i="15"/>
  <c r="H42" i="15"/>
  <c r="K42" i="15"/>
  <c r="O42" i="15"/>
  <c r="P42" i="15"/>
  <c r="C42" i="15"/>
  <c r="B329" i="15"/>
  <c r="A28" i="19"/>
  <c r="A27" i="19"/>
  <c r="K17" i="19"/>
  <c r="C17" i="19"/>
  <c r="L16" i="19"/>
  <c r="O16" i="19" s="1"/>
  <c r="G16" i="19"/>
  <c r="I258" i="15" s="1"/>
  <c r="D16" i="19"/>
  <c r="O15" i="19"/>
  <c r="L15" i="19"/>
  <c r="G15" i="19"/>
  <c r="D15" i="19" s="1"/>
  <c r="K14" i="19"/>
  <c r="C14" i="19"/>
  <c r="G13" i="19"/>
  <c r="O13" i="19" s="1"/>
  <c r="L13" i="19" s="1"/>
  <c r="K9" i="19"/>
  <c r="C9" i="19"/>
  <c r="K7" i="19"/>
  <c r="J7" i="19"/>
  <c r="C7" i="19"/>
  <c r="B7" i="19"/>
  <c r="D7" i="19" s="1"/>
  <c r="G7" i="19" s="1"/>
  <c r="C5" i="19"/>
  <c r="M65" i="1"/>
  <c r="D209" i="15"/>
  <c r="E209" i="15"/>
  <c r="F209" i="15"/>
  <c r="G209" i="15"/>
  <c r="H209" i="15"/>
  <c r="I209" i="15"/>
  <c r="K209" i="15"/>
  <c r="L209" i="15"/>
  <c r="M209" i="15"/>
  <c r="N209" i="15"/>
  <c r="O209" i="15"/>
  <c r="P209" i="15"/>
  <c r="Q209" i="15"/>
  <c r="C209" i="15"/>
  <c r="D191" i="15"/>
  <c r="E191" i="15"/>
  <c r="F191" i="15"/>
  <c r="G191" i="15"/>
  <c r="H191" i="15"/>
  <c r="I191" i="15"/>
  <c r="K191" i="15"/>
  <c r="L191" i="15"/>
  <c r="M191" i="15"/>
  <c r="N191" i="15"/>
  <c r="O191" i="15"/>
  <c r="P191" i="15"/>
  <c r="Q191" i="15"/>
  <c r="C191" i="15"/>
  <c r="D173" i="15"/>
  <c r="E173" i="15"/>
  <c r="F173" i="15"/>
  <c r="G173" i="15"/>
  <c r="H173" i="15"/>
  <c r="K173" i="15"/>
  <c r="L173" i="15"/>
  <c r="M173" i="15"/>
  <c r="N173" i="15"/>
  <c r="O173" i="15"/>
  <c r="P173" i="15"/>
  <c r="C173" i="15"/>
  <c r="D155" i="15"/>
  <c r="E155" i="15"/>
  <c r="F155" i="15"/>
  <c r="G155" i="15"/>
  <c r="H155" i="15"/>
  <c r="I155" i="15"/>
  <c r="K155" i="15"/>
  <c r="L155" i="15"/>
  <c r="M155" i="15"/>
  <c r="N155" i="15"/>
  <c r="O155" i="15"/>
  <c r="P155" i="15"/>
  <c r="Q155" i="15"/>
  <c r="C155" i="15"/>
  <c r="I5" i="12"/>
  <c r="I4" i="12"/>
  <c r="D7" i="1" a="1"/>
  <c r="D7" i="1" s="1"/>
  <c r="D6" i="1"/>
  <c r="D184" i="15"/>
  <c r="E184" i="15"/>
  <c r="F184" i="15"/>
  <c r="G184" i="15"/>
  <c r="H184" i="15"/>
  <c r="K184" i="15"/>
  <c r="L184" i="15"/>
  <c r="M184" i="15"/>
  <c r="N184" i="15"/>
  <c r="O184" i="15"/>
  <c r="P184" i="15"/>
  <c r="C184" i="15"/>
  <c r="G166" i="15"/>
  <c r="H166" i="15"/>
  <c r="K166" i="15"/>
  <c r="O166" i="15"/>
  <c r="P166" i="15"/>
  <c r="C166" i="15"/>
  <c r="G148" i="15"/>
  <c r="H148" i="15"/>
  <c r="K148" i="15"/>
  <c r="O148" i="15"/>
  <c r="P148" i="15"/>
  <c r="C148" i="15"/>
  <c r="I11" i="17"/>
  <c r="I10" i="17"/>
  <c r="A11" i="17"/>
  <c r="A10" i="17"/>
  <c r="J9" i="3"/>
  <c r="J8" i="3"/>
  <c r="L311" i="15"/>
  <c r="M311" i="15"/>
  <c r="N311" i="15"/>
  <c r="O311" i="15"/>
  <c r="P311" i="15"/>
  <c r="Q311" i="15"/>
  <c r="K311" i="15"/>
  <c r="D311" i="15"/>
  <c r="E311" i="15"/>
  <c r="F311" i="15"/>
  <c r="G311" i="15"/>
  <c r="H311" i="15"/>
  <c r="I311" i="15"/>
  <c r="C311" i="15"/>
  <c r="L293" i="15"/>
  <c r="M293" i="15"/>
  <c r="N293" i="15"/>
  <c r="O293" i="15"/>
  <c r="P293" i="15"/>
  <c r="Q293" i="15"/>
  <c r="K293" i="15"/>
  <c r="D293" i="15"/>
  <c r="E293" i="15"/>
  <c r="F293" i="15"/>
  <c r="G293" i="15"/>
  <c r="H293" i="15"/>
  <c r="I293" i="15"/>
  <c r="C293" i="15"/>
  <c r="L275" i="15"/>
  <c r="M275" i="15"/>
  <c r="N275" i="15"/>
  <c r="O275" i="15"/>
  <c r="P275" i="15"/>
  <c r="Q275" i="15"/>
  <c r="K275" i="15"/>
  <c r="D275" i="15"/>
  <c r="E275" i="15"/>
  <c r="F275" i="15"/>
  <c r="G275" i="15"/>
  <c r="H275" i="15"/>
  <c r="I275" i="15"/>
  <c r="C275" i="15"/>
  <c r="L257" i="15"/>
  <c r="M257" i="15"/>
  <c r="N257" i="15"/>
  <c r="O257" i="15"/>
  <c r="P257" i="15"/>
  <c r="Q257" i="15"/>
  <c r="K257" i="15"/>
  <c r="D257" i="15"/>
  <c r="E257" i="15"/>
  <c r="F257" i="15"/>
  <c r="G257" i="15"/>
  <c r="H257" i="15"/>
  <c r="I257" i="15"/>
  <c r="C257" i="15"/>
  <c r="D239" i="15"/>
  <c r="L239" i="15" s="1"/>
  <c r="E239" i="15"/>
  <c r="M239" i="15" s="1"/>
  <c r="F239" i="15"/>
  <c r="N239" i="15" s="1"/>
  <c r="G239" i="15"/>
  <c r="O239" i="15" s="1"/>
  <c r="H239" i="15"/>
  <c r="P239" i="15" s="1"/>
  <c r="I239" i="15"/>
  <c r="Q239" i="15" s="1"/>
  <c r="C239" i="15"/>
  <c r="K239" i="15" s="1"/>
  <c r="D221" i="15"/>
  <c r="E221" i="15"/>
  <c r="F221" i="15"/>
  <c r="G221" i="15"/>
  <c r="H221" i="15"/>
  <c r="K221" i="15"/>
  <c r="L221" i="15"/>
  <c r="M221" i="15"/>
  <c r="N221" i="15"/>
  <c r="O221" i="15"/>
  <c r="P221" i="15"/>
  <c r="C221" i="15"/>
  <c r="E203" i="15"/>
  <c r="G203" i="15"/>
  <c r="H203" i="15"/>
  <c r="K203" i="15"/>
  <c r="M203" i="15"/>
  <c r="O203" i="15"/>
  <c r="P203" i="15"/>
  <c r="C203" i="15"/>
  <c r="E185" i="15"/>
  <c r="G185" i="15"/>
  <c r="H185" i="15"/>
  <c r="K185" i="15"/>
  <c r="M185" i="15"/>
  <c r="O185" i="15"/>
  <c r="P185" i="15"/>
  <c r="C185" i="15"/>
  <c r="E167" i="15"/>
  <c r="G167" i="15"/>
  <c r="H167" i="15"/>
  <c r="K167" i="15"/>
  <c r="M167" i="15"/>
  <c r="O167" i="15"/>
  <c r="P167" i="15"/>
  <c r="C167" i="15"/>
  <c r="E149" i="15"/>
  <c r="G149" i="15"/>
  <c r="H149" i="15"/>
  <c r="K149" i="15"/>
  <c r="M149" i="15"/>
  <c r="O149" i="15"/>
  <c r="P149" i="15"/>
  <c r="C149" i="15"/>
  <c r="D131" i="15"/>
  <c r="E131" i="15"/>
  <c r="F131" i="15"/>
  <c r="G131" i="15"/>
  <c r="H131" i="15"/>
  <c r="K131" i="15"/>
  <c r="L131" i="15"/>
  <c r="M131" i="15"/>
  <c r="N131" i="15"/>
  <c r="O131" i="15"/>
  <c r="P131" i="15"/>
  <c r="C131" i="15"/>
  <c r="E113" i="15"/>
  <c r="G113" i="15"/>
  <c r="H113" i="15"/>
  <c r="K113" i="15"/>
  <c r="O113" i="15"/>
  <c r="P113" i="15"/>
  <c r="C113" i="15"/>
  <c r="G95" i="15"/>
  <c r="H95" i="15"/>
  <c r="K95" i="15"/>
  <c r="O95" i="15"/>
  <c r="P95" i="15"/>
  <c r="C95" i="15"/>
  <c r="G77" i="15"/>
  <c r="H77" i="15"/>
  <c r="K77" i="15"/>
  <c r="O77" i="15"/>
  <c r="P77" i="15"/>
  <c r="C77" i="15"/>
  <c r="E59" i="15"/>
  <c r="G59" i="15"/>
  <c r="H59" i="15"/>
  <c r="K59" i="15"/>
  <c r="O59" i="15"/>
  <c r="P59" i="15"/>
  <c r="C59" i="15"/>
  <c r="G41" i="15"/>
  <c r="H41" i="15"/>
  <c r="K41" i="15"/>
  <c r="O41" i="15"/>
  <c r="P41" i="15"/>
  <c r="C41" i="15"/>
  <c r="K329" i="1"/>
  <c r="K328" i="1"/>
  <c r="K327" i="1"/>
  <c r="K326" i="1"/>
  <c r="K325" i="1"/>
  <c r="I13" i="18"/>
  <c r="I12" i="18"/>
  <c r="U1" i="1"/>
  <c r="W4" i="1" s="1"/>
  <c r="B326" i="1"/>
  <c r="B327" i="1"/>
  <c r="B328" i="1"/>
  <c r="B329" i="1"/>
  <c r="B325" i="1"/>
  <c r="K11" i="18"/>
  <c r="K308" i="1"/>
  <c r="I11" i="18"/>
  <c r="C11" i="18"/>
  <c r="I10" i="18"/>
  <c r="B308" i="1"/>
  <c r="P1" i="1"/>
  <c r="S6" i="1" s="1"/>
  <c r="A24" i="18"/>
  <c r="A23" i="18"/>
  <c r="I14" i="18"/>
  <c r="K8" i="18"/>
  <c r="M113" i="15" s="1"/>
  <c r="C8" i="18"/>
  <c r="K7" i="18"/>
  <c r="M95" i="15" s="1"/>
  <c r="J7" i="18"/>
  <c r="L95" i="15" s="1"/>
  <c r="C7" i="18"/>
  <c r="E95" i="15" s="1"/>
  <c r="B7" i="18"/>
  <c r="D95" i="15" s="1"/>
  <c r="C5" i="18"/>
  <c r="D310" i="15"/>
  <c r="E310" i="15"/>
  <c r="F310" i="15"/>
  <c r="G310" i="15"/>
  <c r="H310" i="15"/>
  <c r="I310" i="15"/>
  <c r="K310" i="15"/>
  <c r="L310" i="15"/>
  <c r="M310" i="15"/>
  <c r="N310" i="15"/>
  <c r="O310" i="15"/>
  <c r="P310" i="15"/>
  <c r="Q310" i="15"/>
  <c r="C310" i="15"/>
  <c r="C307" i="15"/>
  <c r="D292" i="15"/>
  <c r="E292" i="15"/>
  <c r="F292" i="15"/>
  <c r="G292" i="15"/>
  <c r="H292" i="15"/>
  <c r="I292" i="15"/>
  <c r="K292" i="15"/>
  <c r="L292" i="15"/>
  <c r="M292" i="15"/>
  <c r="N292" i="15"/>
  <c r="O292" i="15"/>
  <c r="P292" i="15"/>
  <c r="Q292" i="15"/>
  <c r="C292" i="15"/>
  <c r="D274" i="15"/>
  <c r="E274" i="15"/>
  <c r="F274" i="15"/>
  <c r="G274" i="15"/>
  <c r="H274" i="15"/>
  <c r="I274" i="15"/>
  <c r="K274" i="15"/>
  <c r="L274" i="15"/>
  <c r="M274" i="15"/>
  <c r="N274" i="15"/>
  <c r="O274" i="15"/>
  <c r="P274" i="15"/>
  <c r="Q274" i="15"/>
  <c r="C274" i="15"/>
  <c r="D256" i="15"/>
  <c r="E256" i="15"/>
  <c r="F256" i="15"/>
  <c r="G256" i="15"/>
  <c r="H256" i="15"/>
  <c r="I256" i="15"/>
  <c r="K256" i="15"/>
  <c r="L256" i="15"/>
  <c r="M256" i="15"/>
  <c r="N256" i="15"/>
  <c r="O256" i="15"/>
  <c r="P256" i="15"/>
  <c r="Q256" i="15"/>
  <c r="C256" i="15"/>
  <c r="D238" i="15"/>
  <c r="E238" i="15"/>
  <c r="F238" i="15"/>
  <c r="G238" i="15"/>
  <c r="H238" i="15"/>
  <c r="I238" i="15"/>
  <c r="K238" i="15"/>
  <c r="L238" i="15"/>
  <c r="M238" i="15"/>
  <c r="N238" i="15"/>
  <c r="O238" i="15"/>
  <c r="P238" i="15"/>
  <c r="Q238" i="15"/>
  <c r="C238" i="15"/>
  <c r="D220" i="15"/>
  <c r="E220" i="15"/>
  <c r="F220" i="15"/>
  <c r="G220" i="15"/>
  <c r="H220" i="15"/>
  <c r="I220" i="15"/>
  <c r="K220" i="15"/>
  <c r="L220" i="15"/>
  <c r="M220" i="15"/>
  <c r="N220" i="15"/>
  <c r="O220" i="15"/>
  <c r="P220" i="15"/>
  <c r="Q220" i="15"/>
  <c r="C220" i="15"/>
  <c r="E202" i="15"/>
  <c r="F202" i="15"/>
  <c r="G202" i="15"/>
  <c r="H202" i="15"/>
  <c r="I202" i="15"/>
  <c r="K202" i="15"/>
  <c r="L202" i="15"/>
  <c r="M202" i="15"/>
  <c r="N202" i="15"/>
  <c r="O202" i="15"/>
  <c r="P202" i="15"/>
  <c r="Q202" i="15"/>
  <c r="C202" i="15"/>
  <c r="D202" i="15"/>
  <c r="C255" i="15"/>
  <c r="D130" i="15"/>
  <c r="E130" i="15"/>
  <c r="F130" i="15"/>
  <c r="G130" i="15"/>
  <c r="H130" i="15"/>
  <c r="K130" i="15"/>
  <c r="L130" i="15"/>
  <c r="M130" i="15"/>
  <c r="N130" i="15"/>
  <c r="O130" i="15"/>
  <c r="P130" i="15"/>
  <c r="C130" i="15"/>
  <c r="G112" i="15"/>
  <c r="H112" i="15"/>
  <c r="K112" i="15"/>
  <c r="O112" i="15"/>
  <c r="P112" i="15"/>
  <c r="C112" i="15"/>
  <c r="G94" i="15"/>
  <c r="H94" i="15"/>
  <c r="K94" i="15"/>
  <c r="O94" i="15"/>
  <c r="P94" i="15"/>
  <c r="C94" i="15"/>
  <c r="G76" i="15"/>
  <c r="H76" i="15"/>
  <c r="K76" i="15"/>
  <c r="O76" i="15"/>
  <c r="P76" i="15"/>
  <c r="C76" i="15"/>
  <c r="G58" i="15"/>
  <c r="H58" i="15"/>
  <c r="K58" i="15"/>
  <c r="O58" i="15"/>
  <c r="P58" i="15"/>
  <c r="C58" i="15"/>
  <c r="K40" i="15"/>
  <c r="O40" i="15"/>
  <c r="P40" i="15"/>
  <c r="G40" i="15"/>
  <c r="H40" i="15"/>
  <c r="C40" i="15"/>
  <c r="A22" i="17"/>
  <c r="A21" i="17"/>
  <c r="K8" i="17"/>
  <c r="M112" i="15" s="1"/>
  <c r="C8" i="17"/>
  <c r="E112" i="15" s="1"/>
  <c r="K7" i="17"/>
  <c r="M94" i="15" s="1"/>
  <c r="J7" i="17"/>
  <c r="L94" i="15" s="1"/>
  <c r="C7" i="17"/>
  <c r="E94" i="15" s="1"/>
  <c r="B7" i="17"/>
  <c r="D94" i="15" s="1"/>
  <c r="C5" i="17"/>
  <c r="E58" i="15" s="1"/>
  <c r="J1" i="3"/>
  <c r="M1" i="3" s="1"/>
  <c r="L255" i="15"/>
  <c r="M255" i="15"/>
  <c r="N255" i="15"/>
  <c r="O255" i="15"/>
  <c r="P255" i="15"/>
  <c r="Q255" i="15"/>
  <c r="K255" i="15"/>
  <c r="L253" i="15"/>
  <c r="M253" i="15"/>
  <c r="N253" i="15"/>
  <c r="O253" i="15"/>
  <c r="P253" i="15"/>
  <c r="Q253" i="15"/>
  <c r="K253" i="15"/>
  <c r="L248" i="15"/>
  <c r="M248" i="15"/>
  <c r="N248" i="15"/>
  <c r="O248" i="15"/>
  <c r="P248" i="15"/>
  <c r="Q248" i="15"/>
  <c r="K248" i="15"/>
  <c r="L245" i="15"/>
  <c r="M245" i="15"/>
  <c r="N245" i="15"/>
  <c r="O245" i="15"/>
  <c r="P245" i="15"/>
  <c r="Q245" i="15"/>
  <c r="K245" i="15"/>
  <c r="L273" i="15"/>
  <c r="M273" i="15"/>
  <c r="N273" i="15"/>
  <c r="O273" i="15"/>
  <c r="P273" i="15"/>
  <c r="Q273" i="15"/>
  <c r="K273" i="15"/>
  <c r="L270" i="15"/>
  <c r="M270" i="15"/>
  <c r="N270" i="15"/>
  <c r="O270" i="15"/>
  <c r="P270" i="15"/>
  <c r="Q270" i="15"/>
  <c r="L271" i="15"/>
  <c r="M271" i="15"/>
  <c r="N271" i="15"/>
  <c r="O271" i="15"/>
  <c r="P271" i="15"/>
  <c r="Q271" i="15"/>
  <c r="K271" i="15"/>
  <c r="K270" i="15"/>
  <c r="L309" i="15"/>
  <c r="M309" i="15"/>
  <c r="N309" i="15"/>
  <c r="O309" i="15"/>
  <c r="P309" i="15"/>
  <c r="Q309" i="15"/>
  <c r="K309" i="15"/>
  <c r="L306" i="15"/>
  <c r="M306" i="15"/>
  <c r="N306" i="15"/>
  <c r="O306" i="15"/>
  <c r="P306" i="15"/>
  <c r="Q306" i="15"/>
  <c r="L307" i="15"/>
  <c r="M307" i="15"/>
  <c r="N307" i="15"/>
  <c r="O307" i="15"/>
  <c r="P307" i="15"/>
  <c r="Q307" i="15"/>
  <c r="K307" i="15"/>
  <c r="K306" i="15"/>
  <c r="L301" i="15"/>
  <c r="M301" i="15"/>
  <c r="N301" i="15"/>
  <c r="O301" i="15"/>
  <c r="P301" i="15"/>
  <c r="Q301" i="15"/>
  <c r="L302" i="15"/>
  <c r="M302" i="15"/>
  <c r="N302" i="15"/>
  <c r="O302" i="15"/>
  <c r="P302" i="15"/>
  <c r="Q302" i="15"/>
  <c r="K302" i="15"/>
  <c r="K301" i="15"/>
  <c r="L298" i="15"/>
  <c r="M298" i="15"/>
  <c r="N298" i="15"/>
  <c r="O298" i="15"/>
  <c r="P298" i="15"/>
  <c r="Q298" i="15"/>
  <c r="L299" i="15"/>
  <c r="M299" i="15"/>
  <c r="N299" i="15"/>
  <c r="O299" i="15"/>
  <c r="P299" i="15"/>
  <c r="Q299" i="15"/>
  <c r="K299" i="15"/>
  <c r="K298" i="15"/>
  <c r="L280" i="15"/>
  <c r="M280" i="15"/>
  <c r="N280" i="15"/>
  <c r="O280" i="15"/>
  <c r="P280" i="15"/>
  <c r="Q280" i="15"/>
  <c r="L281" i="15"/>
  <c r="M281" i="15"/>
  <c r="N281" i="15"/>
  <c r="O281" i="15"/>
  <c r="P281" i="15"/>
  <c r="Q281" i="15"/>
  <c r="K281" i="15"/>
  <c r="K280" i="15"/>
  <c r="L283" i="15"/>
  <c r="M283" i="15"/>
  <c r="N283" i="15"/>
  <c r="O283" i="15"/>
  <c r="P283" i="15"/>
  <c r="Q283" i="15"/>
  <c r="L284" i="15"/>
  <c r="M284" i="15"/>
  <c r="N284" i="15"/>
  <c r="O284" i="15"/>
  <c r="P284" i="15"/>
  <c r="Q284" i="15"/>
  <c r="K284" i="15"/>
  <c r="K283" i="15"/>
  <c r="L288" i="15"/>
  <c r="M288" i="15"/>
  <c r="N288" i="15"/>
  <c r="O288" i="15"/>
  <c r="P288" i="15"/>
  <c r="Q288" i="15"/>
  <c r="L289" i="15"/>
  <c r="M289" i="15"/>
  <c r="N289" i="15"/>
  <c r="O289" i="15"/>
  <c r="P289" i="15"/>
  <c r="Q289" i="15"/>
  <c r="K289" i="15"/>
  <c r="K288" i="15"/>
  <c r="L291" i="15"/>
  <c r="M291" i="15"/>
  <c r="N291" i="15"/>
  <c r="O291" i="15"/>
  <c r="P291" i="15"/>
  <c r="Q291" i="15"/>
  <c r="K291" i="15"/>
  <c r="D291" i="15"/>
  <c r="E291" i="15"/>
  <c r="F291" i="15"/>
  <c r="G291" i="15"/>
  <c r="H291" i="15"/>
  <c r="I291" i="15"/>
  <c r="C291" i="15"/>
  <c r="D288" i="15"/>
  <c r="E288" i="15"/>
  <c r="F288" i="15"/>
  <c r="G288" i="15"/>
  <c r="H288" i="15"/>
  <c r="I288" i="15"/>
  <c r="D289" i="15"/>
  <c r="E289" i="15"/>
  <c r="F289" i="15"/>
  <c r="G289" i="15"/>
  <c r="H289" i="15"/>
  <c r="I289" i="15"/>
  <c r="C289" i="15"/>
  <c r="C288" i="15"/>
  <c r="D283" i="15"/>
  <c r="E283" i="15"/>
  <c r="F283" i="15"/>
  <c r="G283" i="15"/>
  <c r="H283" i="15"/>
  <c r="I283" i="15"/>
  <c r="D284" i="15"/>
  <c r="E284" i="15"/>
  <c r="F284" i="15"/>
  <c r="G284" i="15"/>
  <c r="H284" i="15"/>
  <c r="I284" i="15"/>
  <c r="C284" i="15"/>
  <c r="C283" i="15"/>
  <c r="D280" i="15"/>
  <c r="E280" i="15"/>
  <c r="F280" i="15"/>
  <c r="G280" i="15"/>
  <c r="H280" i="15"/>
  <c r="I280" i="15"/>
  <c r="D281" i="15"/>
  <c r="E281" i="15"/>
  <c r="F281" i="15"/>
  <c r="G281" i="15"/>
  <c r="H281" i="15"/>
  <c r="I281" i="15"/>
  <c r="C281" i="15"/>
  <c r="C280" i="15"/>
  <c r="D309" i="15"/>
  <c r="E309" i="15"/>
  <c r="F309" i="15"/>
  <c r="G309" i="15"/>
  <c r="H309" i="15"/>
  <c r="I309" i="15"/>
  <c r="C309" i="15"/>
  <c r="D306" i="15"/>
  <c r="E306" i="15"/>
  <c r="F306" i="15"/>
  <c r="G306" i="15"/>
  <c r="H306" i="15"/>
  <c r="I306" i="15"/>
  <c r="D307" i="15"/>
  <c r="E307" i="15"/>
  <c r="F307" i="15"/>
  <c r="G307" i="15"/>
  <c r="H307" i="15"/>
  <c r="I307" i="15"/>
  <c r="C306" i="15"/>
  <c r="D301" i="15"/>
  <c r="E301" i="15"/>
  <c r="F301" i="15"/>
  <c r="G301" i="15"/>
  <c r="H301" i="15"/>
  <c r="I301" i="15"/>
  <c r="D302" i="15"/>
  <c r="E302" i="15"/>
  <c r="F302" i="15"/>
  <c r="G302" i="15"/>
  <c r="H302" i="15"/>
  <c r="I302" i="15"/>
  <c r="C302" i="15"/>
  <c r="C301" i="15"/>
  <c r="D298" i="15"/>
  <c r="E298" i="15"/>
  <c r="F298" i="15"/>
  <c r="G298" i="15"/>
  <c r="H298" i="15"/>
  <c r="I298" i="15"/>
  <c r="D299" i="15"/>
  <c r="E299" i="15"/>
  <c r="F299" i="15"/>
  <c r="G299" i="15"/>
  <c r="H299" i="15"/>
  <c r="I299" i="15"/>
  <c r="C299" i="15"/>
  <c r="C298" i="15"/>
  <c r="L227" i="15"/>
  <c r="M227" i="15"/>
  <c r="N227" i="15"/>
  <c r="O227" i="15"/>
  <c r="P227" i="15"/>
  <c r="Q227" i="15"/>
  <c r="K227" i="15"/>
  <c r="D227" i="15"/>
  <c r="E227" i="15"/>
  <c r="F227" i="15"/>
  <c r="G227" i="15"/>
  <c r="H227" i="15"/>
  <c r="I227" i="15"/>
  <c r="C227" i="15"/>
  <c r="D245" i="15"/>
  <c r="E245" i="15"/>
  <c r="F245" i="15"/>
  <c r="G245" i="15"/>
  <c r="H245" i="15"/>
  <c r="I245" i="15"/>
  <c r="C245" i="15"/>
  <c r="D248" i="15"/>
  <c r="E248" i="15"/>
  <c r="F248" i="15"/>
  <c r="G248" i="15"/>
  <c r="H248" i="15"/>
  <c r="I248" i="15"/>
  <c r="C248" i="15"/>
  <c r="D253" i="15"/>
  <c r="E253" i="15"/>
  <c r="F253" i="15"/>
  <c r="G253" i="15"/>
  <c r="H253" i="15"/>
  <c r="I253" i="15"/>
  <c r="C253" i="15"/>
  <c r="D255" i="15"/>
  <c r="E255" i="15"/>
  <c r="F255" i="15"/>
  <c r="G255" i="15"/>
  <c r="H255" i="15"/>
  <c r="I255" i="15"/>
  <c r="D273" i="15"/>
  <c r="E273" i="15"/>
  <c r="F273" i="15"/>
  <c r="G273" i="15"/>
  <c r="H273" i="15"/>
  <c r="I273" i="15"/>
  <c r="C273" i="15"/>
  <c r="D270" i="15"/>
  <c r="E270" i="15"/>
  <c r="F270" i="15"/>
  <c r="G270" i="15"/>
  <c r="H270" i="15"/>
  <c r="I270" i="15"/>
  <c r="D271" i="15"/>
  <c r="E271" i="15"/>
  <c r="F271" i="15"/>
  <c r="G271" i="15"/>
  <c r="H271" i="15"/>
  <c r="I271" i="15"/>
  <c r="C271" i="15"/>
  <c r="C270" i="15"/>
  <c r="D265" i="15"/>
  <c r="E265" i="15"/>
  <c r="F265" i="15"/>
  <c r="G265" i="15"/>
  <c r="H265" i="15"/>
  <c r="I265" i="15"/>
  <c r="D266" i="15"/>
  <c r="E266" i="15"/>
  <c r="F266" i="15"/>
  <c r="G266" i="15"/>
  <c r="H266" i="15"/>
  <c r="I266" i="15"/>
  <c r="C266" i="15"/>
  <c r="C265" i="15"/>
  <c r="D263" i="15"/>
  <c r="E263" i="15"/>
  <c r="F263" i="15"/>
  <c r="G263" i="15"/>
  <c r="H263" i="15"/>
  <c r="I263" i="15"/>
  <c r="C263" i="15"/>
  <c r="L265" i="15"/>
  <c r="M265" i="15"/>
  <c r="N265" i="15"/>
  <c r="O265" i="15"/>
  <c r="P265" i="15"/>
  <c r="Q265" i="15"/>
  <c r="L266" i="15"/>
  <c r="M266" i="15"/>
  <c r="N266" i="15"/>
  <c r="O266" i="15"/>
  <c r="P266" i="15"/>
  <c r="Q266" i="15"/>
  <c r="K266" i="15"/>
  <c r="K265" i="15"/>
  <c r="L263" i="15"/>
  <c r="M263" i="15"/>
  <c r="N263" i="15"/>
  <c r="O263" i="15"/>
  <c r="P263" i="15"/>
  <c r="Q263" i="15"/>
  <c r="K263" i="15"/>
  <c r="K262" i="15"/>
  <c r="M262" i="15"/>
  <c r="N262" i="15"/>
  <c r="O262" i="15"/>
  <c r="P262" i="15"/>
  <c r="Q262" i="15"/>
  <c r="L262" i="15"/>
  <c r="D262" i="15"/>
  <c r="E262" i="15"/>
  <c r="F262" i="15"/>
  <c r="G262" i="15"/>
  <c r="H262" i="15"/>
  <c r="I262" i="15"/>
  <c r="C262" i="15"/>
  <c r="C244" i="15"/>
  <c r="D300" i="15"/>
  <c r="E300" i="15"/>
  <c r="F300" i="15"/>
  <c r="G300" i="15"/>
  <c r="H300" i="15"/>
  <c r="K300" i="15"/>
  <c r="L300" i="15"/>
  <c r="M300" i="15"/>
  <c r="N300" i="15"/>
  <c r="O300" i="15"/>
  <c r="P300" i="15"/>
  <c r="D303" i="15"/>
  <c r="E303" i="15"/>
  <c r="F303" i="15"/>
  <c r="G303" i="15"/>
  <c r="H303" i="15"/>
  <c r="I303" i="15"/>
  <c r="K303" i="15"/>
  <c r="L303" i="15"/>
  <c r="M303" i="15"/>
  <c r="N303" i="15"/>
  <c r="O303" i="15"/>
  <c r="P303" i="15"/>
  <c r="Q303" i="15"/>
  <c r="D304" i="15"/>
  <c r="E304" i="15"/>
  <c r="F304" i="15"/>
  <c r="G304" i="15"/>
  <c r="H304" i="15"/>
  <c r="I304" i="15"/>
  <c r="K304" i="15"/>
  <c r="L304" i="15"/>
  <c r="M304" i="15"/>
  <c r="N304" i="15"/>
  <c r="O304" i="15"/>
  <c r="P304" i="15"/>
  <c r="Q304" i="15"/>
  <c r="D305" i="15"/>
  <c r="E305" i="15"/>
  <c r="F305" i="15"/>
  <c r="G305" i="15"/>
  <c r="H305" i="15"/>
  <c r="K305" i="15"/>
  <c r="L305" i="15"/>
  <c r="M305" i="15"/>
  <c r="N305" i="15"/>
  <c r="O305" i="15"/>
  <c r="P305" i="15"/>
  <c r="D308" i="15"/>
  <c r="E308" i="15"/>
  <c r="F308" i="15"/>
  <c r="G308" i="15"/>
  <c r="H308" i="15"/>
  <c r="I308" i="15"/>
  <c r="K308" i="15"/>
  <c r="L308" i="15"/>
  <c r="M308" i="15"/>
  <c r="N308" i="15"/>
  <c r="O308" i="15"/>
  <c r="P308" i="15"/>
  <c r="Q308" i="15"/>
  <c r="K282" i="15"/>
  <c r="L282" i="15"/>
  <c r="M282" i="15"/>
  <c r="O282" i="15"/>
  <c r="P282" i="15"/>
  <c r="K285" i="15"/>
  <c r="L285" i="15"/>
  <c r="M285" i="15"/>
  <c r="N285" i="15"/>
  <c r="O285" i="15"/>
  <c r="P285" i="15"/>
  <c r="K286" i="15"/>
  <c r="L286" i="15"/>
  <c r="M286" i="15"/>
  <c r="N286" i="15"/>
  <c r="O286" i="15"/>
  <c r="P286" i="15"/>
  <c r="K287" i="15"/>
  <c r="O287" i="15"/>
  <c r="K290" i="15"/>
  <c r="L290" i="15"/>
  <c r="M290" i="15"/>
  <c r="N290" i="15"/>
  <c r="O290" i="15"/>
  <c r="P290" i="15"/>
  <c r="K264" i="15"/>
  <c r="O264" i="15"/>
  <c r="P264" i="15"/>
  <c r="K267" i="15"/>
  <c r="O267" i="15"/>
  <c r="K268" i="15"/>
  <c r="O268" i="15"/>
  <c r="P268" i="15"/>
  <c r="K269" i="15"/>
  <c r="L269" i="15"/>
  <c r="M269" i="15"/>
  <c r="O269" i="15"/>
  <c r="K272" i="15"/>
  <c r="L272" i="15"/>
  <c r="M272" i="15"/>
  <c r="O272" i="15"/>
  <c r="P272" i="15"/>
  <c r="K244" i="15"/>
  <c r="L244" i="15"/>
  <c r="M244" i="15"/>
  <c r="N244" i="15"/>
  <c r="O244" i="15"/>
  <c r="P244" i="15"/>
  <c r="Q244" i="15"/>
  <c r="K246" i="15"/>
  <c r="L246" i="15"/>
  <c r="M246" i="15"/>
  <c r="O246" i="15"/>
  <c r="P246" i="15"/>
  <c r="K247" i="15"/>
  <c r="L247" i="15"/>
  <c r="M247" i="15"/>
  <c r="N247" i="15"/>
  <c r="O247" i="15"/>
  <c r="P247" i="15"/>
  <c r="Q247" i="15"/>
  <c r="K249" i="15"/>
  <c r="L249" i="15"/>
  <c r="M249" i="15"/>
  <c r="O249" i="15"/>
  <c r="K250" i="15"/>
  <c r="L250" i="15"/>
  <c r="M250" i="15"/>
  <c r="O250" i="15"/>
  <c r="P250" i="15"/>
  <c r="K251" i="15"/>
  <c r="L251" i="15"/>
  <c r="M251" i="15"/>
  <c r="O251" i="15"/>
  <c r="P251" i="15"/>
  <c r="K252" i="15"/>
  <c r="L252" i="15"/>
  <c r="M252" i="15"/>
  <c r="N252" i="15"/>
  <c r="O252" i="15"/>
  <c r="P252" i="15"/>
  <c r="Q252" i="15"/>
  <c r="K254" i="15"/>
  <c r="L254" i="15"/>
  <c r="M254" i="15"/>
  <c r="O254" i="15"/>
  <c r="K226" i="15"/>
  <c r="L226" i="15"/>
  <c r="M226" i="15"/>
  <c r="N226" i="15"/>
  <c r="O226" i="15"/>
  <c r="P226" i="15"/>
  <c r="K228" i="15"/>
  <c r="O228" i="15"/>
  <c r="P228" i="15"/>
  <c r="K229" i="15"/>
  <c r="L229" i="15"/>
  <c r="M229" i="15"/>
  <c r="N229" i="15"/>
  <c r="O229" i="15"/>
  <c r="P229" i="15"/>
  <c r="K230" i="15"/>
  <c r="L230" i="15"/>
  <c r="M230" i="15"/>
  <c r="N230" i="15"/>
  <c r="O230" i="15"/>
  <c r="P230" i="15"/>
  <c r="Q230" i="15"/>
  <c r="K231" i="15"/>
  <c r="L231" i="15"/>
  <c r="M231" i="15"/>
  <c r="N231" i="15"/>
  <c r="O231" i="15"/>
  <c r="P231" i="15"/>
  <c r="K232" i="15"/>
  <c r="L232" i="15"/>
  <c r="M232" i="15"/>
  <c r="O232" i="15"/>
  <c r="P232" i="15"/>
  <c r="K233" i="15"/>
  <c r="O233" i="15"/>
  <c r="P233" i="15"/>
  <c r="K234" i="15"/>
  <c r="L234" i="15"/>
  <c r="M234" i="15"/>
  <c r="N234" i="15"/>
  <c r="O234" i="15"/>
  <c r="P234" i="15"/>
  <c r="K235" i="15"/>
  <c r="L235" i="15"/>
  <c r="M235" i="15"/>
  <c r="N235" i="15"/>
  <c r="O235" i="15"/>
  <c r="P235" i="15"/>
  <c r="Q235" i="15"/>
  <c r="K236" i="15"/>
  <c r="O236" i="15"/>
  <c r="P236" i="15"/>
  <c r="K237" i="15"/>
  <c r="L237" i="15"/>
  <c r="M237" i="15"/>
  <c r="N237" i="15"/>
  <c r="O237" i="15"/>
  <c r="P237" i="15"/>
  <c r="Q237" i="15"/>
  <c r="K208" i="15"/>
  <c r="O208" i="15"/>
  <c r="P208" i="15"/>
  <c r="K210" i="15"/>
  <c r="L210" i="15"/>
  <c r="M210" i="15"/>
  <c r="O210" i="15"/>
  <c r="P210" i="15"/>
  <c r="K211" i="15"/>
  <c r="O211" i="15"/>
  <c r="P211" i="15"/>
  <c r="K212" i="15"/>
  <c r="L212" i="15"/>
  <c r="M212" i="15"/>
  <c r="N212" i="15"/>
  <c r="O212" i="15"/>
  <c r="P212" i="15"/>
  <c r="K213" i="15"/>
  <c r="O213" i="15"/>
  <c r="P213" i="15"/>
  <c r="K214" i="15"/>
  <c r="O214" i="15"/>
  <c r="P214" i="15"/>
  <c r="K215" i="15"/>
  <c r="L215" i="15"/>
  <c r="M215" i="15"/>
  <c r="O215" i="15"/>
  <c r="P215" i="15"/>
  <c r="K216" i="15"/>
  <c r="O216" i="15"/>
  <c r="P216" i="15"/>
  <c r="K217" i="15"/>
  <c r="L217" i="15"/>
  <c r="M217" i="15"/>
  <c r="N217" i="15"/>
  <c r="O217" i="15"/>
  <c r="P217" i="15"/>
  <c r="K218" i="15"/>
  <c r="L218" i="15"/>
  <c r="M218" i="15"/>
  <c r="O218" i="15"/>
  <c r="P218" i="15"/>
  <c r="K219" i="15"/>
  <c r="L219" i="15"/>
  <c r="M219" i="15"/>
  <c r="N219" i="15"/>
  <c r="O219" i="15"/>
  <c r="P219" i="15"/>
  <c r="K190" i="15"/>
  <c r="O190" i="15"/>
  <c r="P190" i="15"/>
  <c r="K192" i="15"/>
  <c r="O192" i="15"/>
  <c r="P192" i="15"/>
  <c r="K193" i="15"/>
  <c r="O193" i="15"/>
  <c r="P193" i="15"/>
  <c r="K194" i="15"/>
  <c r="M194" i="15"/>
  <c r="O194" i="15"/>
  <c r="P194" i="15"/>
  <c r="K195" i="15"/>
  <c r="O195" i="15"/>
  <c r="K196" i="15"/>
  <c r="O196" i="15"/>
  <c r="P196" i="15"/>
  <c r="K197" i="15"/>
  <c r="O197" i="15"/>
  <c r="P197" i="15"/>
  <c r="K198" i="15"/>
  <c r="O198" i="15"/>
  <c r="P198" i="15"/>
  <c r="K199" i="15"/>
  <c r="O199" i="15"/>
  <c r="P199" i="15"/>
  <c r="K200" i="15"/>
  <c r="O200" i="15"/>
  <c r="P200" i="15"/>
  <c r="K201" i="15"/>
  <c r="M201" i="15"/>
  <c r="O201" i="15"/>
  <c r="P201" i="15"/>
  <c r="K172" i="15"/>
  <c r="O172" i="15"/>
  <c r="P172" i="15"/>
  <c r="K174" i="15"/>
  <c r="O174" i="15"/>
  <c r="P174" i="15"/>
  <c r="K175" i="15"/>
  <c r="O175" i="15"/>
  <c r="P175" i="15"/>
  <c r="K176" i="15"/>
  <c r="M176" i="15"/>
  <c r="O176" i="15"/>
  <c r="P176" i="15"/>
  <c r="K177" i="15"/>
  <c r="O177" i="15"/>
  <c r="K178" i="15"/>
  <c r="O178" i="15"/>
  <c r="P178" i="15"/>
  <c r="K179" i="15"/>
  <c r="O179" i="15"/>
  <c r="P179" i="15"/>
  <c r="K180" i="15"/>
  <c r="O180" i="15"/>
  <c r="P180" i="15"/>
  <c r="K181" i="15"/>
  <c r="O181" i="15"/>
  <c r="P181" i="15"/>
  <c r="K182" i="15"/>
  <c r="O182" i="15"/>
  <c r="P182" i="15"/>
  <c r="K183" i="15"/>
  <c r="M183" i="15"/>
  <c r="O183" i="15"/>
  <c r="P183" i="15"/>
  <c r="K154" i="15"/>
  <c r="O154" i="15"/>
  <c r="P154" i="15"/>
  <c r="K156" i="15"/>
  <c r="L156" i="15"/>
  <c r="M156" i="15"/>
  <c r="N156" i="15"/>
  <c r="O156" i="15"/>
  <c r="P156" i="15"/>
  <c r="K157" i="15"/>
  <c r="O157" i="15"/>
  <c r="P157" i="15"/>
  <c r="K158" i="15"/>
  <c r="O158" i="15"/>
  <c r="P158" i="15"/>
  <c r="K159" i="15"/>
  <c r="L159" i="15"/>
  <c r="M159" i="15"/>
  <c r="N159" i="15"/>
  <c r="O159" i="15"/>
  <c r="P159" i="15"/>
  <c r="K160" i="15"/>
  <c r="L160" i="15"/>
  <c r="M160" i="15"/>
  <c r="N160" i="15"/>
  <c r="O160" i="15"/>
  <c r="P160" i="15"/>
  <c r="K161" i="15"/>
  <c r="L161" i="15"/>
  <c r="M161" i="15"/>
  <c r="N161" i="15"/>
  <c r="O161" i="15"/>
  <c r="P161" i="15"/>
  <c r="K162" i="15"/>
  <c r="O162" i="15"/>
  <c r="P162" i="15"/>
  <c r="K163" i="15"/>
  <c r="O163" i="15"/>
  <c r="P163" i="15"/>
  <c r="K164" i="15"/>
  <c r="L164" i="15"/>
  <c r="M164" i="15"/>
  <c r="N164" i="15"/>
  <c r="O164" i="15"/>
  <c r="P164" i="15"/>
  <c r="K165" i="15"/>
  <c r="O165" i="15"/>
  <c r="P165" i="15"/>
  <c r="K136" i="15"/>
  <c r="O136" i="15"/>
  <c r="P136" i="15"/>
  <c r="K137" i="15"/>
  <c r="L137" i="15"/>
  <c r="M137" i="15"/>
  <c r="N137" i="15"/>
  <c r="O137" i="15"/>
  <c r="P137" i="15"/>
  <c r="K138" i="15"/>
  <c r="O138" i="15"/>
  <c r="P138" i="15"/>
  <c r="K139" i="15"/>
  <c r="O139" i="15"/>
  <c r="P139" i="15"/>
  <c r="K140" i="15"/>
  <c r="O140" i="15"/>
  <c r="P140" i="15"/>
  <c r="K141" i="15"/>
  <c r="O141" i="15"/>
  <c r="P141" i="15"/>
  <c r="K142" i="15"/>
  <c r="O142" i="15"/>
  <c r="P142" i="15"/>
  <c r="K143" i="15"/>
  <c r="O143" i="15"/>
  <c r="P143" i="15"/>
  <c r="K144" i="15"/>
  <c r="O144" i="15"/>
  <c r="P144" i="15"/>
  <c r="K145" i="15"/>
  <c r="O145" i="15"/>
  <c r="P145" i="15"/>
  <c r="K146" i="15"/>
  <c r="O146" i="15"/>
  <c r="P146" i="15"/>
  <c r="K147" i="15"/>
  <c r="O147" i="15"/>
  <c r="P147" i="15"/>
  <c r="K118" i="15"/>
  <c r="O118" i="15"/>
  <c r="P118" i="15"/>
  <c r="K119" i="15"/>
  <c r="O119" i="15"/>
  <c r="P119" i="15"/>
  <c r="O120" i="15"/>
  <c r="P120" i="15"/>
  <c r="K121" i="15"/>
  <c r="O121" i="15"/>
  <c r="P121" i="15"/>
  <c r="K122" i="15"/>
  <c r="L122" i="15"/>
  <c r="M122" i="15"/>
  <c r="N122" i="15"/>
  <c r="O122" i="15"/>
  <c r="P122" i="15"/>
  <c r="O123" i="15"/>
  <c r="P123" i="15"/>
  <c r="K124" i="15"/>
  <c r="M124" i="15"/>
  <c r="O124" i="15"/>
  <c r="P124" i="15"/>
  <c r="O125" i="15"/>
  <c r="P125" i="15"/>
  <c r="K126" i="15"/>
  <c r="L126" i="15"/>
  <c r="M126" i="15"/>
  <c r="N126" i="15"/>
  <c r="O126" i="15"/>
  <c r="P126" i="15"/>
  <c r="K127" i="15"/>
  <c r="O127" i="15"/>
  <c r="P127" i="15"/>
  <c r="O128" i="15"/>
  <c r="P128" i="15"/>
  <c r="K129" i="15"/>
  <c r="L129" i="15"/>
  <c r="M129" i="15"/>
  <c r="N129" i="15"/>
  <c r="O129" i="15"/>
  <c r="P129" i="15"/>
  <c r="K100" i="15"/>
  <c r="O100" i="15"/>
  <c r="P100" i="15"/>
  <c r="K101" i="15"/>
  <c r="L101" i="15"/>
  <c r="M101" i="15"/>
  <c r="N101" i="15"/>
  <c r="O101" i="15"/>
  <c r="P101" i="15"/>
  <c r="K102" i="15"/>
  <c r="O102" i="15"/>
  <c r="P102" i="15"/>
  <c r="K103" i="15"/>
  <c r="O103" i="15"/>
  <c r="P103" i="15"/>
  <c r="K104" i="15"/>
  <c r="O104" i="15"/>
  <c r="P104" i="15"/>
  <c r="K105" i="15"/>
  <c r="O105" i="15"/>
  <c r="P105" i="15"/>
  <c r="K106" i="15"/>
  <c r="O106" i="15"/>
  <c r="P106" i="15"/>
  <c r="K107" i="15"/>
  <c r="O107" i="15"/>
  <c r="P107" i="15"/>
  <c r="K108" i="15"/>
  <c r="O108" i="15"/>
  <c r="P108" i="15"/>
  <c r="K109" i="15"/>
  <c r="O109" i="15"/>
  <c r="P109" i="15"/>
  <c r="K110" i="15"/>
  <c r="O110" i="15"/>
  <c r="P110" i="15"/>
  <c r="K111" i="15"/>
  <c r="O111" i="15"/>
  <c r="P111" i="15"/>
  <c r="K82" i="15"/>
  <c r="O82" i="15"/>
  <c r="P82" i="15"/>
  <c r="K83" i="15"/>
  <c r="O83" i="15"/>
  <c r="P83" i="15"/>
  <c r="K84" i="15"/>
  <c r="O84" i="15"/>
  <c r="P84" i="15"/>
  <c r="K85" i="15"/>
  <c r="O85" i="15"/>
  <c r="P85" i="15"/>
  <c r="K86" i="15"/>
  <c r="O86" i="15"/>
  <c r="P86" i="15"/>
  <c r="K87" i="15"/>
  <c r="O87" i="15"/>
  <c r="K88" i="15"/>
  <c r="O88" i="15"/>
  <c r="P88" i="15"/>
  <c r="K89" i="15"/>
  <c r="O89" i="15"/>
  <c r="P89" i="15"/>
  <c r="K90" i="15"/>
  <c r="O90" i="15"/>
  <c r="P90" i="15"/>
  <c r="K91" i="15"/>
  <c r="O91" i="15"/>
  <c r="P91" i="15"/>
  <c r="K92" i="15"/>
  <c r="O92" i="15"/>
  <c r="P92" i="15"/>
  <c r="K93" i="15"/>
  <c r="O93" i="15"/>
  <c r="P93" i="15"/>
  <c r="K64" i="15"/>
  <c r="O64" i="15"/>
  <c r="P64" i="15"/>
  <c r="K65" i="15"/>
  <c r="O65" i="15"/>
  <c r="P65" i="15"/>
  <c r="K66" i="15"/>
  <c r="M66" i="15"/>
  <c r="O66" i="15"/>
  <c r="P66" i="15"/>
  <c r="K67" i="15"/>
  <c r="O67" i="15"/>
  <c r="P67" i="15"/>
  <c r="K68" i="15"/>
  <c r="O68" i="15"/>
  <c r="P68" i="15"/>
  <c r="K69" i="15"/>
  <c r="M69" i="15"/>
  <c r="O69" i="15"/>
  <c r="P69" i="15"/>
  <c r="K70" i="15"/>
  <c r="M70" i="15"/>
  <c r="O70" i="15"/>
  <c r="P70" i="15"/>
  <c r="K71" i="15"/>
  <c r="M71" i="15"/>
  <c r="O71" i="15"/>
  <c r="P71" i="15"/>
  <c r="K72" i="15"/>
  <c r="O72" i="15"/>
  <c r="P72" i="15"/>
  <c r="K73" i="15"/>
  <c r="O73" i="15"/>
  <c r="P73" i="15"/>
  <c r="K74" i="15"/>
  <c r="M74" i="15"/>
  <c r="O74" i="15"/>
  <c r="P74" i="15"/>
  <c r="K75" i="15"/>
  <c r="O75" i="15"/>
  <c r="P75" i="15"/>
  <c r="K46" i="15"/>
  <c r="O46" i="15"/>
  <c r="P46" i="15"/>
  <c r="K47" i="15"/>
  <c r="K48" i="15"/>
  <c r="O48" i="15"/>
  <c r="P48" i="15"/>
  <c r="K49" i="15"/>
  <c r="O49" i="15"/>
  <c r="P49" i="15"/>
  <c r="K50" i="15"/>
  <c r="O50" i="15"/>
  <c r="P50" i="15"/>
  <c r="K51" i="15"/>
  <c r="O51" i="15"/>
  <c r="P51" i="15"/>
  <c r="K52" i="15"/>
  <c r="O52" i="15"/>
  <c r="P52" i="15"/>
  <c r="K53" i="15"/>
  <c r="O53" i="15"/>
  <c r="P53" i="15"/>
  <c r="K54" i="15"/>
  <c r="O54" i="15"/>
  <c r="P54" i="15"/>
  <c r="K55" i="15"/>
  <c r="O55" i="15"/>
  <c r="P55" i="15"/>
  <c r="K56" i="15"/>
  <c r="O56" i="15"/>
  <c r="P56" i="15"/>
  <c r="K57" i="15"/>
  <c r="O57" i="15"/>
  <c r="P57" i="15"/>
  <c r="K28" i="15"/>
  <c r="O28" i="15"/>
  <c r="P28" i="15"/>
  <c r="K29" i="15"/>
  <c r="K30" i="15"/>
  <c r="O30" i="15"/>
  <c r="K31" i="15"/>
  <c r="O31" i="15"/>
  <c r="P31" i="15"/>
  <c r="K32" i="15"/>
  <c r="O32" i="15"/>
  <c r="P32" i="15"/>
  <c r="K33" i="15"/>
  <c r="O33" i="15"/>
  <c r="K34" i="15"/>
  <c r="O34" i="15"/>
  <c r="P34" i="15"/>
  <c r="K35" i="15"/>
  <c r="O35" i="15"/>
  <c r="K36" i="15"/>
  <c r="O36" i="15"/>
  <c r="P36" i="15"/>
  <c r="K37" i="15"/>
  <c r="O37" i="15"/>
  <c r="P37" i="15"/>
  <c r="K38" i="15"/>
  <c r="O38" i="15"/>
  <c r="K39" i="15"/>
  <c r="O39" i="15"/>
  <c r="P39" i="15"/>
  <c r="C308" i="15"/>
  <c r="C305" i="15"/>
  <c r="C304" i="15"/>
  <c r="C303" i="15"/>
  <c r="C300" i="15"/>
  <c r="B313" i="15"/>
  <c r="D282" i="15"/>
  <c r="E282" i="15"/>
  <c r="G282" i="15"/>
  <c r="H282" i="15"/>
  <c r="D285" i="15"/>
  <c r="E285" i="15"/>
  <c r="F285" i="15"/>
  <c r="G285" i="15"/>
  <c r="H285" i="15"/>
  <c r="D286" i="15"/>
  <c r="E286" i="15"/>
  <c r="F286" i="15"/>
  <c r="G286" i="15"/>
  <c r="H286" i="15"/>
  <c r="G287" i="15"/>
  <c r="D290" i="15"/>
  <c r="E290" i="15"/>
  <c r="F290" i="15"/>
  <c r="G290" i="15"/>
  <c r="H290" i="15"/>
  <c r="C290" i="15"/>
  <c r="C287" i="15"/>
  <c r="C286" i="15"/>
  <c r="C285" i="15"/>
  <c r="C282" i="15"/>
  <c r="B295" i="15"/>
  <c r="G264" i="15"/>
  <c r="H264" i="15"/>
  <c r="G267" i="15"/>
  <c r="G268" i="15"/>
  <c r="H268" i="15"/>
  <c r="D269" i="15"/>
  <c r="E269" i="15"/>
  <c r="G269" i="15"/>
  <c r="D272" i="15"/>
  <c r="E272" i="15"/>
  <c r="G272" i="15"/>
  <c r="H272" i="15"/>
  <c r="I15" i="9"/>
  <c r="C272" i="15"/>
  <c r="C269" i="15"/>
  <c r="C268" i="15"/>
  <c r="C267" i="15"/>
  <c r="C264" i="15"/>
  <c r="B277" i="15"/>
  <c r="D244" i="15"/>
  <c r="E244" i="15"/>
  <c r="F244" i="15"/>
  <c r="G244" i="15"/>
  <c r="H244" i="15"/>
  <c r="I244" i="15"/>
  <c r="D246" i="15"/>
  <c r="E246" i="15"/>
  <c r="G246" i="15"/>
  <c r="H246" i="15"/>
  <c r="D247" i="15"/>
  <c r="E247" i="15"/>
  <c r="F247" i="15"/>
  <c r="G247" i="15"/>
  <c r="H247" i="15"/>
  <c r="I247" i="15"/>
  <c r="D249" i="15"/>
  <c r="E249" i="15"/>
  <c r="G249" i="15"/>
  <c r="D250" i="15"/>
  <c r="E250" i="15"/>
  <c r="G250" i="15"/>
  <c r="H250" i="15"/>
  <c r="D251" i="15"/>
  <c r="E251" i="15"/>
  <c r="G251" i="15"/>
  <c r="H251" i="15"/>
  <c r="D252" i="15"/>
  <c r="E252" i="15"/>
  <c r="F252" i="15"/>
  <c r="G252" i="15"/>
  <c r="H252" i="15"/>
  <c r="I252" i="15"/>
  <c r="D254" i="15"/>
  <c r="E254" i="15"/>
  <c r="G254" i="15"/>
  <c r="I15" i="11"/>
  <c r="I14" i="16"/>
  <c r="C217" i="15"/>
  <c r="C254" i="15"/>
  <c r="C252" i="15"/>
  <c r="C251" i="15"/>
  <c r="C250" i="15"/>
  <c r="C249" i="15"/>
  <c r="C247" i="15"/>
  <c r="C246" i="15"/>
  <c r="B259" i="15"/>
  <c r="D226" i="15"/>
  <c r="E226" i="15"/>
  <c r="F226" i="15"/>
  <c r="G226" i="15"/>
  <c r="H226" i="15"/>
  <c r="C226" i="15"/>
  <c r="D137" i="15"/>
  <c r="E137" i="15"/>
  <c r="F137" i="15"/>
  <c r="G137" i="15"/>
  <c r="H137" i="15"/>
  <c r="C137" i="15"/>
  <c r="C136" i="15"/>
  <c r="I15" i="13"/>
  <c r="G228" i="15"/>
  <c r="H228" i="15"/>
  <c r="D229" i="15"/>
  <c r="E229" i="15"/>
  <c r="F229" i="15"/>
  <c r="G229" i="15"/>
  <c r="H229" i="15"/>
  <c r="D230" i="15"/>
  <c r="E230" i="15"/>
  <c r="F230" i="15"/>
  <c r="G230" i="15"/>
  <c r="H230" i="15"/>
  <c r="I230" i="15"/>
  <c r="D231" i="15"/>
  <c r="E231" i="15"/>
  <c r="F231" i="15"/>
  <c r="G231" i="15"/>
  <c r="H231" i="15"/>
  <c r="D232" i="15"/>
  <c r="E232" i="15"/>
  <c r="G232" i="15"/>
  <c r="H232" i="15"/>
  <c r="G233" i="15"/>
  <c r="H233" i="15"/>
  <c r="D234" i="15"/>
  <c r="E234" i="15"/>
  <c r="F234" i="15"/>
  <c r="G234" i="15"/>
  <c r="H234" i="15"/>
  <c r="D235" i="15"/>
  <c r="E235" i="15"/>
  <c r="F235" i="15"/>
  <c r="G235" i="15"/>
  <c r="H235" i="15"/>
  <c r="I235" i="15"/>
  <c r="G236" i="15"/>
  <c r="H236" i="15"/>
  <c r="D237" i="15"/>
  <c r="E237" i="15"/>
  <c r="F237" i="15"/>
  <c r="G237" i="15"/>
  <c r="H237" i="15"/>
  <c r="I237" i="15"/>
  <c r="C237" i="15"/>
  <c r="C236" i="15"/>
  <c r="C235" i="15"/>
  <c r="C234" i="15"/>
  <c r="C233" i="15"/>
  <c r="C232" i="15"/>
  <c r="C231" i="15"/>
  <c r="C230" i="15"/>
  <c r="C229" i="15"/>
  <c r="C228" i="15"/>
  <c r="B241" i="15"/>
  <c r="G208" i="15"/>
  <c r="H208" i="15"/>
  <c r="D210" i="15"/>
  <c r="E210" i="15"/>
  <c r="G210" i="15"/>
  <c r="H210" i="15"/>
  <c r="G211" i="15"/>
  <c r="H211" i="15"/>
  <c r="D212" i="15"/>
  <c r="E212" i="15"/>
  <c r="F212" i="15"/>
  <c r="G212" i="15"/>
  <c r="H212" i="15"/>
  <c r="G213" i="15"/>
  <c r="H213" i="15"/>
  <c r="G214" i="15"/>
  <c r="H214" i="15"/>
  <c r="D215" i="15"/>
  <c r="E215" i="15"/>
  <c r="G215" i="15"/>
  <c r="H215" i="15"/>
  <c r="G216" i="15"/>
  <c r="H216" i="15"/>
  <c r="D217" i="15"/>
  <c r="E217" i="15"/>
  <c r="F217" i="15"/>
  <c r="G217" i="15"/>
  <c r="H217" i="15"/>
  <c r="D218" i="15"/>
  <c r="E218" i="15"/>
  <c r="G218" i="15"/>
  <c r="H218" i="15"/>
  <c r="D219" i="15"/>
  <c r="E219" i="15"/>
  <c r="F219" i="15"/>
  <c r="G219" i="15"/>
  <c r="H219" i="15"/>
  <c r="C219" i="15"/>
  <c r="C218" i="15"/>
  <c r="C216" i="15"/>
  <c r="C215" i="15"/>
  <c r="C214" i="15"/>
  <c r="C213" i="15"/>
  <c r="C212" i="15"/>
  <c r="C211" i="15"/>
  <c r="C210" i="15"/>
  <c r="C208" i="15"/>
  <c r="B223" i="15"/>
  <c r="G190" i="15"/>
  <c r="H190" i="15"/>
  <c r="G192" i="15"/>
  <c r="H192" i="15"/>
  <c r="G193" i="15"/>
  <c r="H193" i="15"/>
  <c r="E194" i="15"/>
  <c r="G194" i="15"/>
  <c r="H194" i="15"/>
  <c r="G195" i="15"/>
  <c r="G196" i="15"/>
  <c r="H196" i="15"/>
  <c r="G197" i="15"/>
  <c r="H197" i="15"/>
  <c r="G198" i="15"/>
  <c r="H198" i="15"/>
  <c r="G199" i="15"/>
  <c r="H199" i="15"/>
  <c r="G200" i="15"/>
  <c r="H200" i="15"/>
  <c r="E201" i="15"/>
  <c r="G201" i="15"/>
  <c r="H201" i="15"/>
  <c r="C201" i="15"/>
  <c r="C200" i="15"/>
  <c r="C199" i="15"/>
  <c r="C198" i="15"/>
  <c r="C197" i="15"/>
  <c r="C196" i="15"/>
  <c r="C195" i="15"/>
  <c r="C194" i="15"/>
  <c r="C193" i="15"/>
  <c r="C192" i="15"/>
  <c r="C190" i="15"/>
  <c r="B205" i="15"/>
  <c r="G172" i="15"/>
  <c r="H172" i="15"/>
  <c r="G174" i="15"/>
  <c r="H174" i="15"/>
  <c r="G175" i="15"/>
  <c r="H175" i="15"/>
  <c r="E176" i="15"/>
  <c r="G176" i="15"/>
  <c r="H176" i="15"/>
  <c r="G177" i="15"/>
  <c r="G178" i="15"/>
  <c r="H178" i="15"/>
  <c r="G179" i="15"/>
  <c r="H179" i="15"/>
  <c r="G180" i="15"/>
  <c r="H180" i="15"/>
  <c r="G181" i="15"/>
  <c r="H181" i="15"/>
  <c r="G182" i="15"/>
  <c r="H182" i="15"/>
  <c r="E183" i="15"/>
  <c r="G183" i="15"/>
  <c r="H183" i="15"/>
  <c r="C183" i="15"/>
  <c r="C182" i="15"/>
  <c r="C181" i="15"/>
  <c r="C180" i="15"/>
  <c r="C179" i="15"/>
  <c r="C178" i="15"/>
  <c r="C177" i="15"/>
  <c r="C176" i="15"/>
  <c r="C175" i="15"/>
  <c r="C174" i="15"/>
  <c r="C172" i="15"/>
  <c r="B187" i="15"/>
  <c r="G154" i="15"/>
  <c r="H154" i="15"/>
  <c r="D156" i="15"/>
  <c r="E156" i="15"/>
  <c r="F156" i="15"/>
  <c r="G156" i="15"/>
  <c r="H156" i="15"/>
  <c r="G157" i="15"/>
  <c r="H157" i="15"/>
  <c r="G158" i="15"/>
  <c r="H158" i="15"/>
  <c r="D159" i="15"/>
  <c r="E159" i="15"/>
  <c r="F159" i="15"/>
  <c r="G159" i="15"/>
  <c r="H159" i="15"/>
  <c r="D160" i="15"/>
  <c r="E160" i="15"/>
  <c r="F160" i="15"/>
  <c r="G160" i="15"/>
  <c r="H160" i="15"/>
  <c r="D161" i="15"/>
  <c r="E161" i="15"/>
  <c r="F161" i="15"/>
  <c r="G161" i="15"/>
  <c r="H161" i="15"/>
  <c r="G162" i="15"/>
  <c r="H162" i="15"/>
  <c r="G163" i="15"/>
  <c r="H163" i="15"/>
  <c r="D164" i="15"/>
  <c r="E164" i="15"/>
  <c r="F164" i="15"/>
  <c r="G164" i="15"/>
  <c r="H164" i="15"/>
  <c r="G165" i="15"/>
  <c r="H165" i="15"/>
  <c r="C165" i="15"/>
  <c r="C164" i="15"/>
  <c r="C163" i="15"/>
  <c r="C162" i="15"/>
  <c r="C161" i="15"/>
  <c r="C160" i="15"/>
  <c r="C159" i="15"/>
  <c r="C158" i="15"/>
  <c r="C157" i="15"/>
  <c r="C156" i="15"/>
  <c r="C154" i="15"/>
  <c r="B169" i="15"/>
  <c r="G136" i="15"/>
  <c r="H136" i="15"/>
  <c r="G138" i="15"/>
  <c r="H138" i="15"/>
  <c r="G139" i="15"/>
  <c r="H139" i="15"/>
  <c r="G140" i="15"/>
  <c r="H140" i="15"/>
  <c r="G141" i="15"/>
  <c r="H141" i="15"/>
  <c r="G142" i="15"/>
  <c r="H142" i="15"/>
  <c r="G143" i="15"/>
  <c r="H143" i="15"/>
  <c r="G144" i="15"/>
  <c r="H144" i="15"/>
  <c r="G145" i="15"/>
  <c r="H145" i="15"/>
  <c r="G146" i="15"/>
  <c r="H146" i="15"/>
  <c r="G147" i="15"/>
  <c r="H147" i="15"/>
  <c r="C147" i="15"/>
  <c r="C146" i="15"/>
  <c r="C145" i="15"/>
  <c r="C144" i="15"/>
  <c r="C143" i="15"/>
  <c r="C142" i="15"/>
  <c r="C141" i="15"/>
  <c r="C140" i="15"/>
  <c r="C139" i="15"/>
  <c r="C138" i="15"/>
  <c r="B151" i="15"/>
  <c r="G118" i="15"/>
  <c r="H118" i="15"/>
  <c r="G119" i="15"/>
  <c r="H119" i="15"/>
  <c r="G120" i="15"/>
  <c r="H120" i="15"/>
  <c r="G121" i="15"/>
  <c r="H121" i="15"/>
  <c r="D122" i="15"/>
  <c r="E122" i="15"/>
  <c r="F122" i="15"/>
  <c r="G122" i="15"/>
  <c r="H122" i="15"/>
  <c r="G123" i="15"/>
  <c r="H123" i="15"/>
  <c r="E124" i="15"/>
  <c r="G124" i="15"/>
  <c r="H124" i="15"/>
  <c r="G125" i="15"/>
  <c r="H125" i="15"/>
  <c r="D126" i="15"/>
  <c r="E126" i="15"/>
  <c r="F126" i="15"/>
  <c r="G126" i="15"/>
  <c r="H126" i="15"/>
  <c r="G127" i="15"/>
  <c r="H127" i="15"/>
  <c r="G128" i="15"/>
  <c r="H128" i="15"/>
  <c r="D129" i="15"/>
  <c r="E129" i="15"/>
  <c r="F129" i="15"/>
  <c r="G129" i="15"/>
  <c r="H129" i="15"/>
  <c r="C129" i="15"/>
  <c r="C127" i="15"/>
  <c r="C126" i="15"/>
  <c r="C124" i="15"/>
  <c r="C122" i="15"/>
  <c r="C121" i="15"/>
  <c r="C119" i="15"/>
  <c r="C118" i="15"/>
  <c r="B133" i="15"/>
  <c r="G100" i="15"/>
  <c r="H100" i="15"/>
  <c r="D101" i="15"/>
  <c r="E101" i="15"/>
  <c r="F101" i="15"/>
  <c r="G101" i="15"/>
  <c r="H101" i="15"/>
  <c r="G102" i="15"/>
  <c r="H102" i="15"/>
  <c r="G103" i="15"/>
  <c r="H103" i="15"/>
  <c r="G104" i="15"/>
  <c r="H104" i="15"/>
  <c r="G105" i="15"/>
  <c r="H105" i="15"/>
  <c r="G106" i="15"/>
  <c r="H106" i="15"/>
  <c r="G107" i="15"/>
  <c r="H107" i="15"/>
  <c r="G108" i="15"/>
  <c r="H108" i="15"/>
  <c r="G109" i="15"/>
  <c r="H109" i="15"/>
  <c r="G110" i="15"/>
  <c r="H110" i="15"/>
  <c r="G111" i="15"/>
  <c r="H111" i="15"/>
  <c r="C111" i="15"/>
  <c r="C110" i="15"/>
  <c r="C109" i="15"/>
  <c r="C108" i="15"/>
  <c r="C107" i="15"/>
  <c r="C106" i="15"/>
  <c r="C105" i="15"/>
  <c r="C104" i="15"/>
  <c r="C103" i="15"/>
  <c r="C102" i="15"/>
  <c r="C101" i="15"/>
  <c r="C100" i="15"/>
  <c r="B115" i="15"/>
  <c r="G82" i="15"/>
  <c r="H82" i="15"/>
  <c r="G83" i="15"/>
  <c r="H83" i="15"/>
  <c r="G84" i="15"/>
  <c r="H84" i="15"/>
  <c r="G85" i="15"/>
  <c r="H85" i="15"/>
  <c r="G86" i="15"/>
  <c r="H86" i="15"/>
  <c r="G87" i="15"/>
  <c r="G88" i="15"/>
  <c r="H88" i="15"/>
  <c r="G89" i="15"/>
  <c r="H89" i="15"/>
  <c r="G90" i="15"/>
  <c r="H90" i="15"/>
  <c r="G91" i="15"/>
  <c r="H91" i="15"/>
  <c r="G92" i="15"/>
  <c r="H92" i="15"/>
  <c r="G93" i="15"/>
  <c r="H93" i="15"/>
  <c r="C82" i="15"/>
  <c r="C93" i="15"/>
  <c r="C92" i="15"/>
  <c r="C91" i="15"/>
  <c r="C90" i="15"/>
  <c r="C89" i="15"/>
  <c r="C88" i="15"/>
  <c r="C87" i="15"/>
  <c r="C86" i="15"/>
  <c r="C85" i="15"/>
  <c r="C84" i="15"/>
  <c r="C83" i="15"/>
  <c r="B97" i="15"/>
  <c r="G64" i="15"/>
  <c r="H64" i="15"/>
  <c r="G65" i="15"/>
  <c r="H65" i="15"/>
  <c r="E66" i="15"/>
  <c r="G66" i="15"/>
  <c r="H66" i="15"/>
  <c r="G67" i="15"/>
  <c r="H67" i="15"/>
  <c r="G68" i="15"/>
  <c r="H68" i="15"/>
  <c r="E69" i="15"/>
  <c r="G69" i="15"/>
  <c r="H69" i="15"/>
  <c r="E70" i="15"/>
  <c r="G70" i="15"/>
  <c r="H70" i="15"/>
  <c r="E71" i="15"/>
  <c r="G71" i="15"/>
  <c r="H71" i="15"/>
  <c r="G72" i="15"/>
  <c r="H72" i="15"/>
  <c r="G73" i="15"/>
  <c r="H73" i="15"/>
  <c r="E74" i="15"/>
  <c r="G74" i="15"/>
  <c r="H74" i="15"/>
  <c r="G75" i="15"/>
  <c r="H75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B79" i="15"/>
  <c r="G46" i="15"/>
  <c r="H46" i="15"/>
  <c r="G48" i="15"/>
  <c r="H48" i="15"/>
  <c r="G49" i="15"/>
  <c r="H49" i="15"/>
  <c r="G50" i="15"/>
  <c r="H50" i="15"/>
  <c r="G51" i="15"/>
  <c r="H51" i="15"/>
  <c r="G52" i="15"/>
  <c r="H52" i="15"/>
  <c r="G53" i="15"/>
  <c r="H53" i="15"/>
  <c r="G54" i="15"/>
  <c r="H54" i="15"/>
  <c r="G55" i="15"/>
  <c r="H55" i="15"/>
  <c r="G56" i="15"/>
  <c r="H56" i="15"/>
  <c r="G57" i="15"/>
  <c r="H57" i="15"/>
  <c r="C46" i="15"/>
  <c r="C57" i="15"/>
  <c r="C56" i="15"/>
  <c r="C55" i="15"/>
  <c r="C54" i="15"/>
  <c r="C53" i="15"/>
  <c r="C52" i="15"/>
  <c r="C51" i="15"/>
  <c r="C50" i="15"/>
  <c r="C49" i="15"/>
  <c r="C48" i="15"/>
  <c r="C47" i="15"/>
  <c r="G31" i="15"/>
  <c r="H31" i="15"/>
  <c r="G32" i="15"/>
  <c r="H32" i="15"/>
  <c r="G33" i="15"/>
  <c r="G34" i="15"/>
  <c r="H34" i="15"/>
  <c r="G35" i="15"/>
  <c r="G36" i="15"/>
  <c r="H36" i="15"/>
  <c r="G37" i="15"/>
  <c r="H37" i="15"/>
  <c r="G38" i="15"/>
  <c r="G39" i="15"/>
  <c r="H39" i="15"/>
  <c r="C39" i="15"/>
  <c r="C38" i="15"/>
  <c r="C37" i="15"/>
  <c r="C36" i="15"/>
  <c r="C35" i="15"/>
  <c r="C34" i="15"/>
  <c r="C33" i="15"/>
  <c r="C32" i="15"/>
  <c r="C31" i="15"/>
  <c r="G30" i="15"/>
  <c r="C30" i="15"/>
  <c r="C29" i="15"/>
  <c r="G28" i="15"/>
  <c r="H28" i="15"/>
  <c r="C28" i="15"/>
  <c r="J7" i="3"/>
  <c r="L7" i="3" s="1"/>
  <c r="J6" i="3"/>
  <c r="J5" i="3"/>
  <c r="J4" i="3"/>
  <c r="K4" i="3" s="1"/>
  <c r="J3" i="3"/>
  <c r="J2" i="3"/>
  <c r="K2" i="3" s="1"/>
  <c r="A30" i="3"/>
  <c r="A27" i="3"/>
  <c r="K9" i="16"/>
  <c r="M127" i="15" s="1"/>
  <c r="M291" i="1"/>
  <c r="J291" i="1"/>
  <c r="K290" i="1" s="1"/>
  <c r="M290" i="1"/>
  <c r="J290" i="1"/>
  <c r="K289" i="1" s="1"/>
  <c r="C9" i="16"/>
  <c r="E127" i="15" s="1"/>
  <c r="A291" i="1"/>
  <c r="B290" i="1" s="1"/>
  <c r="A290" i="1"/>
  <c r="B289" i="1" s="1"/>
  <c r="D291" i="1"/>
  <c r="D290" i="1"/>
  <c r="A22" i="16"/>
  <c r="A21" i="16"/>
  <c r="K12" i="16"/>
  <c r="M181" i="15" s="1"/>
  <c r="K8" i="16"/>
  <c r="M109" i="15" s="1"/>
  <c r="C8" i="16"/>
  <c r="E109" i="15" s="1"/>
  <c r="K7" i="16"/>
  <c r="M91" i="15" s="1"/>
  <c r="C7" i="16"/>
  <c r="E91" i="15" s="1"/>
  <c r="A20" i="12"/>
  <c r="A19" i="12"/>
  <c r="A23" i="13"/>
  <c r="A22" i="13"/>
  <c r="A23" i="11"/>
  <c r="A22" i="11"/>
  <c r="A24" i="8"/>
  <c r="A23" i="8"/>
  <c r="A25" i="9"/>
  <c r="A24" i="9"/>
  <c r="A24" i="7"/>
  <c r="A23" i="7"/>
  <c r="A29" i="6"/>
  <c r="A28" i="6"/>
  <c r="A28" i="10"/>
  <c r="A27" i="10"/>
  <c r="A29" i="5"/>
  <c r="A28" i="5"/>
  <c r="A28" i="4"/>
  <c r="A27" i="4"/>
  <c r="A28" i="2"/>
  <c r="A27" i="2"/>
  <c r="D8" i="1"/>
  <c r="A9" i="10" s="1"/>
  <c r="C128" i="15" s="1"/>
  <c r="D5" i="1"/>
  <c r="G22" i="7" s="1"/>
  <c r="D23" i="14"/>
  <c r="I7" i="3" s="1"/>
  <c r="D17" i="14"/>
  <c r="I4" i="3" s="1"/>
  <c r="D11" i="14"/>
  <c r="I1" i="3" s="1"/>
  <c r="A1" i="3"/>
  <c r="D14" i="3" s="1"/>
  <c r="C13" i="13"/>
  <c r="E193" i="15" s="1"/>
  <c r="K13" i="13"/>
  <c r="M193" i="15" s="1"/>
  <c r="K9" i="13"/>
  <c r="M121" i="15" s="1"/>
  <c r="C9" i="13"/>
  <c r="E121" i="15" s="1"/>
  <c r="K8" i="13"/>
  <c r="M103" i="15" s="1"/>
  <c r="C8" i="13"/>
  <c r="E103" i="15" s="1"/>
  <c r="K7" i="13"/>
  <c r="M85" i="15" s="1"/>
  <c r="C7" i="13"/>
  <c r="E85" i="15" s="1"/>
  <c r="M264" i="1"/>
  <c r="M265" i="1" s="1"/>
  <c r="K9" i="11"/>
  <c r="M118" i="15" s="1"/>
  <c r="K8" i="11"/>
  <c r="M100" i="15" s="1"/>
  <c r="K7" i="11"/>
  <c r="M82" i="15" s="1"/>
  <c r="C13" i="11"/>
  <c r="K13" i="11" s="1"/>
  <c r="M190" i="15" s="1"/>
  <c r="C9" i="11"/>
  <c r="E118" i="15" s="1"/>
  <c r="C8" i="11"/>
  <c r="E100" i="15" s="1"/>
  <c r="C7" i="11"/>
  <c r="E82" i="15" s="1"/>
  <c r="A282" i="1"/>
  <c r="C282" i="1" s="1"/>
  <c r="A279" i="1"/>
  <c r="B13" i="13" s="1"/>
  <c r="D193" i="15" s="1"/>
  <c r="M275" i="1"/>
  <c r="K11" i="11" s="1"/>
  <c r="M154" i="15" s="1"/>
  <c r="M274" i="1"/>
  <c r="J274" i="1"/>
  <c r="K273" i="1" s="1"/>
  <c r="M273" i="1"/>
  <c r="J273" i="1"/>
  <c r="D275" i="1"/>
  <c r="C11" i="11" s="1"/>
  <c r="E154" i="15" s="1"/>
  <c r="A274" i="1"/>
  <c r="B273" i="1" s="1"/>
  <c r="A273" i="1"/>
  <c r="D274" i="1"/>
  <c r="D273" i="1"/>
  <c r="J266" i="1"/>
  <c r="K265" i="1" s="1"/>
  <c r="J265" i="1"/>
  <c r="K264" i="1" s="1"/>
  <c r="J264" i="1"/>
  <c r="M260" i="1"/>
  <c r="N260" i="1" s="1"/>
  <c r="M259" i="1"/>
  <c r="K258" i="1"/>
  <c r="D267" i="1"/>
  <c r="C10" i="11" s="1"/>
  <c r="E136" i="15" s="1"/>
  <c r="D266" i="1"/>
  <c r="D265" i="1"/>
  <c r="A266" i="1"/>
  <c r="B265" i="1" s="1"/>
  <c r="A265" i="1"/>
  <c r="B264" i="1" s="1"/>
  <c r="A264" i="1"/>
  <c r="E264" i="1" s="1"/>
  <c r="D260" i="1"/>
  <c r="D259" i="1"/>
  <c r="B258" i="1"/>
  <c r="M248" i="1"/>
  <c r="M247" i="1"/>
  <c r="D248" i="1"/>
  <c r="D247" i="1"/>
  <c r="J247" i="1"/>
  <c r="K248" i="1"/>
  <c r="J246" i="1"/>
  <c r="A248" i="1"/>
  <c r="B247" i="1" s="1"/>
  <c r="K247" i="1" s="1"/>
  <c r="B246" i="1"/>
  <c r="K246" i="1" s="1"/>
  <c r="J243" i="1"/>
  <c r="K245" i="1"/>
  <c r="J245" i="1"/>
  <c r="M238" i="1"/>
  <c r="D240" i="1"/>
  <c r="M240" i="1" s="1"/>
  <c r="D239" i="1"/>
  <c r="M239" i="1" s="1"/>
  <c r="K241" i="1"/>
  <c r="J241" i="1"/>
  <c r="K240" i="1"/>
  <c r="J238" i="1"/>
  <c r="K237" i="1"/>
  <c r="J237" i="1"/>
  <c r="D234" i="1"/>
  <c r="M234" i="1" s="1"/>
  <c r="K5" i="13" s="1"/>
  <c r="M49" i="15" s="1"/>
  <c r="M229" i="1"/>
  <c r="M230" i="1" s="1"/>
  <c r="D229" i="1"/>
  <c r="D230" i="1" s="1"/>
  <c r="D29" i="1"/>
  <c r="J226" i="1"/>
  <c r="K9" i="12"/>
  <c r="M119" i="15" s="1"/>
  <c r="C9" i="12"/>
  <c r="E119" i="15" s="1"/>
  <c r="C5" i="12"/>
  <c r="K5" i="12" s="1"/>
  <c r="M47" i="15" s="1"/>
  <c r="M5" i="12"/>
  <c r="O47" i="15" s="1"/>
  <c r="M4" i="12"/>
  <c r="O29" i="15" s="1"/>
  <c r="C6" i="12"/>
  <c r="K6" i="12" s="1"/>
  <c r="M65" i="15" s="1"/>
  <c r="C4" i="12"/>
  <c r="K4" i="12" s="1"/>
  <c r="M29" i="15" s="1"/>
  <c r="K7" i="12"/>
  <c r="M83" i="15" s="1"/>
  <c r="C7" i="12"/>
  <c r="E83" i="15" s="1"/>
  <c r="M16" i="10"/>
  <c r="D17" i="10"/>
  <c r="L17" i="10" s="1"/>
  <c r="O17" i="10" s="1"/>
  <c r="Q272" i="15" s="1"/>
  <c r="F16" i="10"/>
  <c r="N16" i="10" s="1"/>
  <c r="P254" i="15" s="1"/>
  <c r="D16" i="10"/>
  <c r="L16" i="10" s="1"/>
  <c r="N254" i="15" s="1"/>
  <c r="C15" i="10"/>
  <c r="E236" i="15" s="1"/>
  <c r="D14" i="10"/>
  <c r="L14" i="10" s="1"/>
  <c r="O14" i="10" s="1"/>
  <c r="Q218" i="15" s="1"/>
  <c r="K10" i="10"/>
  <c r="M146" i="15" s="1"/>
  <c r="C10" i="10"/>
  <c r="E146" i="15" s="1"/>
  <c r="K8" i="10"/>
  <c r="M110" i="15" s="1"/>
  <c r="J8" i="10"/>
  <c r="L110" i="15" s="1"/>
  <c r="C8" i="10"/>
  <c r="E110" i="15" s="1"/>
  <c r="B8" i="10"/>
  <c r="D110" i="15" s="1"/>
  <c r="C5" i="10"/>
  <c r="E56" i="15" s="1"/>
  <c r="D18" i="6"/>
  <c r="G18" i="6" s="1"/>
  <c r="I282" i="15" s="1"/>
  <c r="C17" i="6"/>
  <c r="E264" i="15" s="1"/>
  <c r="L16" i="6"/>
  <c r="O16" i="6" s="1"/>
  <c r="Q246" i="15" s="1"/>
  <c r="D16" i="6"/>
  <c r="G16" i="6" s="1"/>
  <c r="I246" i="15" s="1"/>
  <c r="M189" i="1"/>
  <c r="K17" i="6" s="1"/>
  <c r="M264" i="15" s="1"/>
  <c r="J187" i="1"/>
  <c r="C15" i="6"/>
  <c r="E228" i="15" s="1"/>
  <c r="D14" i="6"/>
  <c r="L14" i="6" s="1"/>
  <c r="O14" i="6" s="1"/>
  <c r="Q210" i="15" s="1"/>
  <c r="M181" i="1"/>
  <c r="K15" i="6" s="1"/>
  <c r="M228" i="15" s="1"/>
  <c r="K180" i="1"/>
  <c r="J178" i="1"/>
  <c r="A179" i="1"/>
  <c r="J179" i="1" s="1"/>
  <c r="B9" i="2" l="1"/>
  <c r="B9" i="6" s="1"/>
  <c r="J9" i="2"/>
  <c r="J9" i="6" s="1"/>
  <c r="G26" i="19"/>
  <c r="A8" i="19"/>
  <c r="C114" i="15" s="1"/>
  <c r="C8" i="19"/>
  <c r="E114" i="15" s="1"/>
  <c r="I8" i="19"/>
  <c r="K114" i="15" s="1"/>
  <c r="K8" i="19"/>
  <c r="M114" i="15" s="1"/>
  <c r="L7" i="19"/>
  <c r="O7" i="19" s="1"/>
  <c r="D13" i="19"/>
  <c r="D1" i="3"/>
  <c r="D15" i="3"/>
  <c r="K1" i="3"/>
  <c r="L1" i="3" s="1"/>
  <c r="R11" i="14" s="1"/>
  <c r="M7" i="3"/>
  <c r="S23" i="14" s="1"/>
  <c r="K7" i="3"/>
  <c r="M2" i="3"/>
  <c r="S13" i="14" s="1"/>
  <c r="D7" i="18"/>
  <c r="L7" i="18"/>
  <c r="F254" i="15"/>
  <c r="W1" i="1"/>
  <c r="W2" i="1"/>
  <c r="N218" i="15"/>
  <c r="W3" i="1"/>
  <c r="F218" i="15"/>
  <c r="F210" i="15"/>
  <c r="F272" i="15"/>
  <c r="N210" i="15"/>
  <c r="N272" i="15"/>
  <c r="N246" i="15"/>
  <c r="F246" i="15"/>
  <c r="F282" i="15"/>
  <c r="H254" i="15"/>
  <c r="S1" i="1"/>
  <c r="S2" i="1"/>
  <c r="S3" i="1"/>
  <c r="S4" i="1"/>
  <c r="S5" i="1"/>
  <c r="G22" i="18"/>
  <c r="G20" i="17"/>
  <c r="D7" i="17"/>
  <c r="L7" i="17"/>
  <c r="D12" i="3"/>
  <c r="D13" i="3"/>
  <c r="D1" i="1"/>
  <c r="F13" i="2" s="1"/>
  <c r="H195" i="15" s="1"/>
  <c r="G29" i="15"/>
  <c r="E190" i="15"/>
  <c r="E29" i="15"/>
  <c r="E65" i="15"/>
  <c r="G47" i="15"/>
  <c r="E47" i="15"/>
  <c r="R23" i="14"/>
  <c r="M4" i="3"/>
  <c r="S17" i="14" s="1"/>
  <c r="L4" i="3"/>
  <c r="R17" i="14" s="1"/>
  <c r="S11" i="14"/>
  <c r="I9" i="6"/>
  <c r="K120" i="15" s="1"/>
  <c r="A9" i="6"/>
  <c r="C120" i="15" s="1"/>
  <c r="G26" i="2"/>
  <c r="G21" i="11"/>
  <c r="K5" i="16"/>
  <c r="M55" i="15" s="1"/>
  <c r="M266" i="1"/>
  <c r="G26" i="10"/>
  <c r="G23" i="9"/>
  <c r="C5" i="16"/>
  <c r="E55" i="15" s="1"/>
  <c r="G20" i="16"/>
  <c r="G26" i="4"/>
  <c r="G21" i="13"/>
  <c r="G27" i="6"/>
  <c r="C10" i="16"/>
  <c r="E145" i="15" s="1"/>
  <c r="G22" i="8"/>
  <c r="K10" i="16"/>
  <c r="M145" i="15" s="1"/>
  <c r="G27" i="5"/>
  <c r="G18" i="12"/>
  <c r="L1" i="1"/>
  <c r="B12" i="16"/>
  <c r="D181" i="15" s="1"/>
  <c r="A9" i="5"/>
  <c r="C125" i="15" s="1"/>
  <c r="I9" i="5"/>
  <c r="K125" i="15" s="1"/>
  <c r="A9" i="2"/>
  <c r="C123" i="15" s="1"/>
  <c r="I9" i="2"/>
  <c r="K123" i="15" s="1"/>
  <c r="I9" i="10"/>
  <c r="K128" i="15" s="1"/>
  <c r="C9" i="2"/>
  <c r="E123" i="15" s="1"/>
  <c r="K9" i="2"/>
  <c r="M123" i="15" s="1"/>
  <c r="C9" i="5"/>
  <c r="K9" i="5"/>
  <c r="C9" i="6"/>
  <c r="E120" i="15" s="1"/>
  <c r="K9" i="6"/>
  <c r="M120" i="15" s="1"/>
  <c r="D5" i="3"/>
  <c r="D6" i="3"/>
  <c r="D7" i="3"/>
  <c r="D8" i="3"/>
  <c r="D9" i="3"/>
  <c r="D2" i="3"/>
  <c r="D10" i="3"/>
  <c r="D3" i="3"/>
  <c r="D11" i="3"/>
  <c r="D4" i="3"/>
  <c r="M267" i="1"/>
  <c r="C11" i="13"/>
  <c r="E157" i="15" s="1"/>
  <c r="C5" i="11"/>
  <c r="E46" i="15" s="1"/>
  <c r="K5" i="11"/>
  <c r="M46" i="15" s="1"/>
  <c r="C5" i="13"/>
  <c r="E49" i="15" s="1"/>
  <c r="C10" i="13"/>
  <c r="E139" i="15" s="1"/>
  <c r="K11" i="13"/>
  <c r="M157" i="15" s="1"/>
  <c r="D13" i="13"/>
  <c r="J13" i="13"/>
  <c r="A252" i="1"/>
  <c r="C279" i="1"/>
  <c r="B13" i="11"/>
  <c r="D190" i="15" s="1"/>
  <c r="J248" i="1"/>
  <c r="J252" i="1" s="1"/>
  <c r="K272" i="1"/>
  <c r="B272" i="1"/>
  <c r="N264" i="1"/>
  <c r="E260" i="1"/>
  <c r="L8" i="10"/>
  <c r="L18" i="6"/>
  <c r="G16" i="10"/>
  <c r="I254" i="15" s="1"/>
  <c r="K15" i="10"/>
  <c r="M236" i="15" s="1"/>
  <c r="O16" i="10"/>
  <c r="Q254" i="15" s="1"/>
  <c r="D8" i="10"/>
  <c r="G17" i="10"/>
  <c r="I272" i="15" s="1"/>
  <c r="G14" i="6"/>
  <c r="I210" i="15" s="1"/>
  <c r="G14" i="10"/>
  <c r="I218" i="15" s="1"/>
  <c r="B178" i="1"/>
  <c r="K178" i="1" s="1"/>
  <c r="J9" i="10" l="1"/>
  <c r="J9" i="5"/>
  <c r="B9" i="5"/>
  <c r="B9" i="10"/>
  <c r="E1" i="3"/>
  <c r="G20" i="18"/>
  <c r="G24" i="18" s="1"/>
  <c r="G24" i="19"/>
  <c r="G28" i="19" s="1"/>
  <c r="O7" i="18"/>
  <c r="Q95" i="15" s="1"/>
  <c r="N95" i="15"/>
  <c r="G7" i="18"/>
  <c r="I95" i="15" s="1"/>
  <c r="F95" i="15"/>
  <c r="W5" i="1"/>
  <c r="B324" i="1" s="1"/>
  <c r="L330" i="1" s="1"/>
  <c r="O18" i="6"/>
  <c r="Q282" i="15" s="1"/>
  <c r="N282" i="15"/>
  <c r="S7" i="1"/>
  <c r="A299" i="1" s="1"/>
  <c r="A313" i="1" s="1"/>
  <c r="B320" i="1" s="1"/>
  <c r="D12" i="18" s="1"/>
  <c r="O7" i="17"/>
  <c r="Q94" i="15" s="1"/>
  <c r="N94" i="15"/>
  <c r="G7" i="17"/>
  <c r="I94" i="15" s="1"/>
  <c r="F94" i="15"/>
  <c r="G8" i="10"/>
  <c r="I110" i="15" s="1"/>
  <c r="F110" i="15"/>
  <c r="O8" i="10"/>
  <c r="Q110" i="15" s="1"/>
  <c r="N110" i="15"/>
  <c r="L13" i="13"/>
  <c r="L193" i="15"/>
  <c r="G19" i="11"/>
  <c r="G23" i="11" s="1"/>
  <c r="G18" i="17"/>
  <c r="G22" i="17" s="1"/>
  <c r="F12" i="2"/>
  <c r="H177" i="15" s="1"/>
  <c r="K9" i="10"/>
  <c r="M128" i="15" s="1"/>
  <c r="M125" i="15"/>
  <c r="C9" i="10"/>
  <c r="E128" i="15" s="1"/>
  <c r="E125" i="15"/>
  <c r="C1" i="15"/>
  <c r="G13" i="13"/>
  <c r="I193" i="15" s="1"/>
  <c r="F193" i="15"/>
  <c r="G20" i="7"/>
  <c r="G24" i="7" s="1"/>
  <c r="G24" i="4"/>
  <c r="G28" i="4" s="1"/>
  <c r="G19" i="13"/>
  <c r="G23" i="13" s="1"/>
  <c r="G24" i="2"/>
  <c r="G28" i="2" s="1"/>
  <c r="G16" i="12"/>
  <c r="G20" i="12" s="1"/>
  <c r="G20" i="8"/>
  <c r="G24" i="8" s="1"/>
  <c r="G21" i="9"/>
  <c r="G25" i="9" s="1"/>
  <c r="G25" i="5"/>
  <c r="G29" i="5" s="1"/>
  <c r="G25" i="6"/>
  <c r="G29" i="6" s="1"/>
  <c r="G18" i="16"/>
  <c r="G22" i="16" s="1"/>
  <c r="K10" i="11"/>
  <c r="M136" i="15" s="1"/>
  <c r="G24" i="10"/>
  <c r="G28" i="10" s="1"/>
  <c r="J12" i="16"/>
  <c r="K10" i="13"/>
  <c r="M139" i="15" s="1"/>
  <c r="D13" i="11"/>
  <c r="J13" i="11"/>
  <c r="D21" i="14" l="1"/>
  <c r="I6" i="3" s="1"/>
  <c r="R9" i="14"/>
  <c r="S9" i="14" s="1"/>
  <c r="I19" i="3"/>
  <c r="D39" i="14" s="1"/>
  <c r="D25" i="14"/>
  <c r="I22" i="3"/>
  <c r="I17" i="3"/>
  <c r="D10" i="14" s="1"/>
  <c r="K25" i="14"/>
  <c r="K9" i="3"/>
  <c r="L9" i="3" s="1"/>
  <c r="R25" i="14" s="1"/>
  <c r="K8" i="3"/>
  <c r="L12" i="18"/>
  <c r="N185" i="15" s="1"/>
  <c r="F185" i="15"/>
  <c r="C330" i="1"/>
  <c r="B13" i="18" s="1"/>
  <c r="A332" i="1"/>
  <c r="B10" i="18"/>
  <c r="D149" i="15" s="1"/>
  <c r="B306" i="1"/>
  <c r="D10" i="18" s="1"/>
  <c r="L12" i="16"/>
  <c r="L181" i="15"/>
  <c r="O13" i="13"/>
  <c r="Q193" i="15" s="1"/>
  <c r="N193" i="15"/>
  <c r="L13" i="11"/>
  <c r="L190" i="15"/>
  <c r="A261" i="15"/>
  <c r="A243" i="15"/>
  <c r="A225" i="15"/>
  <c r="A279" i="15"/>
  <c r="A297" i="15"/>
  <c r="A314" i="15" s="1"/>
  <c r="G13" i="11"/>
  <c r="I190" i="15" s="1"/>
  <c r="F190" i="15"/>
  <c r="A117" i="15"/>
  <c r="A207" i="15"/>
  <c r="A171" i="15"/>
  <c r="A135" i="15"/>
  <c r="A189" i="15"/>
  <c r="A153" i="15"/>
  <c r="A99" i="15"/>
  <c r="A63" i="15"/>
  <c r="A27" i="15"/>
  <c r="A81" i="15"/>
  <c r="A45" i="15"/>
  <c r="L6" i="3"/>
  <c r="R21" i="14" s="1"/>
  <c r="M5" i="3"/>
  <c r="S19" i="14" s="1"/>
  <c r="M3" i="3"/>
  <c r="S15" i="14" s="1"/>
  <c r="K6" i="3"/>
  <c r="L3" i="3"/>
  <c r="R15" i="14" s="1"/>
  <c r="K3" i="3"/>
  <c r="K5" i="3"/>
  <c r="M6" i="3"/>
  <c r="S21" i="14" s="1"/>
  <c r="L5" i="3"/>
  <c r="R19" i="14" s="1"/>
  <c r="D19" i="14"/>
  <c r="I5" i="3" s="1"/>
  <c r="D15" i="14"/>
  <c r="I3" i="3" s="1"/>
  <c r="D13" i="14"/>
  <c r="I2" i="3" s="1"/>
  <c r="C313" i="15" l="1"/>
  <c r="J313" i="15" s="1"/>
  <c r="C79" i="15"/>
  <c r="J79" i="15" s="1"/>
  <c r="C151" i="15"/>
  <c r="J151" i="15" s="1"/>
  <c r="C223" i="15"/>
  <c r="J223" i="15" s="1"/>
  <c r="C295" i="15"/>
  <c r="J295" i="15" s="1"/>
  <c r="C115" i="15"/>
  <c r="J115" i="15" s="1"/>
  <c r="C97" i="15"/>
  <c r="J97" i="15" s="1"/>
  <c r="C169" i="15"/>
  <c r="J169" i="15" s="1"/>
  <c r="C241" i="15"/>
  <c r="J241" i="15" s="1"/>
  <c r="C61" i="15"/>
  <c r="J61" i="15" s="1"/>
  <c r="C133" i="15"/>
  <c r="J133" i="15" s="1"/>
  <c r="C205" i="15"/>
  <c r="J205" i="15" s="1"/>
  <c r="C277" i="15"/>
  <c r="J277" i="15" s="1"/>
  <c r="C187" i="15"/>
  <c r="J187" i="15" s="1"/>
  <c r="C259" i="15"/>
  <c r="J259" i="15" s="1"/>
  <c r="O61" i="15"/>
  <c r="K97" i="15"/>
  <c r="R97" i="15" s="1"/>
  <c r="H115" i="15"/>
  <c r="O133" i="15"/>
  <c r="M151" i="15"/>
  <c r="K169" i="15"/>
  <c r="R169" i="15" s="1"/>
  <c r="H187" i="15"/>
  <c r="O205" i="15"/>
  <c r="M223" i="15"/>
  <c r="K241" i="15"/>
  <c r="R241" i="15" s="1"/>
  <c r="Q259" i="15"/>
  <c r="H259" i="15"/>
  <c r="O277" i="15"/>
  <c r="M295" i="15"/>
  <c r="D295" i="15"/>
  <c r="K313" i="15"/>
  <c r="R313" i="15" s="1"/>
  <c r="G79" i="15"/>
  <c r="G43" i="15"/>
  <c r="E61" i="15"/>
  <c r="P115" i="15"/>
  <c r="G115" i="15"/>
  <c r="E133" i="15"/>
  <c r="G187" i="15"/>
  <c r="P259" i="15"/>
  <c r="G259" i="15"/>
  <c r="L295" i="15"/>
  <c r="H313" i="15"/>
  <c r="P79" i="15"/>
  <c r="P151" i="15"/>
  <c r="E169" i="15"/>
  <c r="P223" i="15"/>
  <c r="N313" i="15"/>
  <c r="O79" i="15"/>
  <c r="G61" i="15"/>
  <c r="E223" i="15"/>
  <c r="I259" i="15"/>
  <c r="G277" i="15"/>
  <c r="E295" i="15"/>
  <c r="D313" i="15"/>
  <c r="O43" i="15"/>
  <c r="K79" i="15"/>
  <c r="R79" i="15" s="1"/>
  <c r="O115" i="15"/>
  <c r="M133" i="15"/>
  <c r="K151" i="15"/>
  <c r="R151" i="15" s="1"/>
  <c r="H169" i="15"/>
  <c r="O187" i="15"/>
  <c r="K223" i="15"/>
  <c r="R223" i="15" s="1"/>
  <c r="H241" i="15"/>
  <c r="O259" i="15"/>
  <c r="F259" i="15"/>
  <c r="K295" i="15"/>
  <c r="R295" i="15" s="1"/>
  <c r="G151" i="15"/>
  <c r="G223" i="15"/>
  <c r="L259" i="15"/>
  <c r="P295" i="15"/>
  <c r="K115" i="15"/>
  <c r="R115" i="15" s="1"/>
  <c r="O151" i="15"/>
  <c r="M169" i="15"/>
  <c r="K187" i="15"/>
  <c r="R187" i="15" s="1"/>
  <c r="H205" i="15"/>
  <c r="F295" i="15"/>
  <c r="G313" i="15"/>
  <c r="G133" i="15"/>
  <c r="E151" i="15"/>
  <c r="G205" i="15"/>
  <c r="N295" i="15"/>
  <c r="L313" i="15"/>
  <c r="G97" i="15"/>
  <c r="E115" i="15"/>
  <c r="P169" i="15"/>
  <c r="G169" i="15"/>
  <c r="P241" i="15"/>
  <c r="G241" i="15"/>
  <c r="N259" i="15"/>
  <c r="E259" i="15"/>
  <c r="P313" i="15"/>
  <c r="C43" i="15"/>
  <c r="J43" i="15" s="1"/>
  <c r="E241" i="15"/>
  <c r="G295" i="15"/>
  <c r="K43" i="15"/>
  <c r="R43" i="15" s="1"/>
  <c r="H133" i="15"/>
  <c r="O223" i="15"/>
  <c r="M241" i="15"/>
  <c r="K259" i="15"/>
  <c r="R259" i="15" s="1"/>
  <c r="O295" i="15"/>
  <c r="M313" i="15"/>
  <c r="P61" i="15"/>
  <c r="P133" i="15"/>
  <c r="K61" i="15"/>
  <c r="R61" i="15" s="1"/>
  <c r="H79" i="15"/>
  <c r="O97" i="15"/>
  <c r="M115" i="15"/>
  <c r="K133" i="15"/>
  <c r="R133" i="15" s="1"/>
  <c r="H151" i="15"/>
  <c r="O169" i="15"/>
  <c r="K205" i="15"/>
  <c r="R205" i="15" s="1"/>
  <c r="H223" i="15"/>
  <c r="O241" i="15"/>
  <c r="M259" i="15"/>
  <c r="D259" i="15"/>
  <c r="K277" i="15"/>
  <c r="R277" i="15" s="1"/>
  <c r="H295" i="15"/>
  <c r="O313" i="15"/>
  <c r="F313" i="15"/>
  <c r="E313" i="15"/>
  <c r="H61" i="15"/>
  <c r="J13" i="18"/>
  <c r="L203" i="15" s="1"/>
  <c r="D203" i="15"/>
  <c r="D14" i="14"/>
  <c r="L2" i="3"/>
  <c r="R13" i="14" s="1"/>
  <c r="K10" i="3"/>
  <c r="L8" i="3"/>
  <c r="J25" i="14" s="1"/>
  <c r="L10" i="18"/>
  <c r="N149" i="15" s="1"/>
  <c r="F149" i="15"/>
  <c r="G337" i="1"/>
  <c r="D329" i="1" s="1"/>
  <c r="F337" i="1"/>
  <c r="D328" i="1" s="1"/>
  <c r="E337" i="1"/>
  <c r="D327" i="1" s="1"/>
  <c r="D337" i="1"/>
  <c r="D326" i="1" s="1"/>
  <c r="C337" i="1"/>
  <c r="D325" i="1" s="1"/>
  <c r="B12" i="18"/>
  <c r="J10" i="18"/>
  <c r="L149" i="15" s="1"/>
  <c r="O13" i="11"/>
  <c r="Q190" i="15" s="1"/>
  <c r="N190" i="15"/>
  <c r="O12" i="16"/>
  <c r="Q181" i="15" s="1"/>
  <c r="N181" i="15"/>
  <c r="J27" i="15"/>
  <c r="J12" i="18" l="1"/>
  <c r="L185" i="15" s="1"/>
  <c r="D185" i="15"/>
  <c r="M325" i="1"/>
  <c r="M327" i="1"/>
  <c r="M326" i="1"/>
  <c r="M328" i="1"/>
  <c r="M329" i="1"/>
  <c r="L32" i="14"/>
  <c r="J6" i="15"/>
  <c r="J44" i="14" s="1"/>
  <c r="R6" i="15"/>
  <c r="R44" i="14" s="1"/>
  <c r="K7" i="15"/>
  <c r="K45" i="14" s="1"/>
  <c r="E9" i="15"/>
  <c r="E47" i="14" s="1"/>
  <c r="M9" i="15"/>
  <c r="M47" i="14" s="1"/>
  <c r="G11" i="15"/>
  <c r="G49" i="14" s="1"/>
  <c r="O11" i="15"/>
  <c r="O49" i="14" s="1"/>
  <c r="H12" i="15"/>
  <c r="H50" i="14" s="1"/>
  <c r="J14" i="15"/>
  <c r="J52" i="14" s="1"/>
  <c r="R14" i="15"/>
  <c r="R52" i="14" s="1"/>
  <c r="K15" i="15"/>
  <c r="K53" i="14" s="1"/>
  <c r="D16" i="15"/>
  <c r="D54" i="14" s="1"/>
  <c r="L16" i="15"/>
  <c r="L54" i="14" s="1"/>
  <c r="G19" i="15"/>
  <c r="G57" i="14" s="1"/>
  <c r="O19" i="15"/>
  <c r="O57" i="14" s="1"/>
  <c r="C15" i="15"/>
  <c r="B53" i="14" s="1"/>
  <c r="C7" i="15"/>
  <c r="B45" i="14" s="1"/>
  <c r="G4" i="15"/>
  <c r="G42" i="14" s="1"/>
  <c r="O4" i="15"/>
  <c r="O42" i="14" s="1"/>
  <c r="M41" i="14"/>
  <c r="F19" i="15"/>
  <c r="F57" i="14" s="1"/>
  <c r="J5" i="15"/>
  <c r="J43" i="14" s="1"/>
  <c r="R5" i="15"/>
  <c r="R43" i="14" s="1"/>
  <c r="K6" i="15"/>
  <c r="K44" i="14" s="1"/>
  <c r="G10" i="15"/>
  <c r="G48" i="14" s="1"/>
  <c r="O10" i="15"/>
  <c r="O48" i="14" s="1"/>
  <c r="H11" i="15"/>
  <c r="H49" i="14" s="1"/>
  <c r="P11" i="15"/>
  <c r="P49" i="14" s="1"/>
  <c r="J13" i="15"/>
  <c r="J51" i="14" s="1"/>
  <c r="R13" i="15"/>
  <c r="R51" i="14" s="1"/>
  <c r="K14" i="15"/>
  <c r="K52" i="14" s="1"/>
  <c r="E16" i="15"/>
  <c r="E54" i="14" s="1"/>
  <c r="M16" i="15"/>
  <c r="M54" i="14" s="1"/>
  <c r="G18" i="15"/>
  <c r="G56" i="14" s="1"/>
  <c r="O18" i="15"/>
  <c r="O56" i="14" s="1"/>
  <c r="H19" i="15"/>
  <c r="H57" i="14" s="1"/>
  <c r="P19" i="15"/>
  <c r="P57" i="14" s="1"/>
  <c r="C14" i="15"/>
  <c r="B52" i="14" s="1"/>
  <c r="C6" i="15"/>
  <c r="B44" i="14" s="1"/>
  <c r="L41" i="14"/>
  <c r="K8" i="15"/>
  <c r="K46" i="14" s="1"/>
  <c r="H13" i="15"/>
  <c r="H51" i="14" s="1"/>
  <c r="R15" i="15"/>
  <c r="R53" i="14" s="1"/>
  <c r="C16" i="15"/>
  <c r="B54" i="14" s="1"/>
  <c r="K5" i="15"/>
  <c r="K43" i="14" s="1"/>
  <c r="G9" i="15"/>
  <c r="G47" i="14" s="1"/>
  <c r="O9" i="15"/>
  <c r="O47" i="14" s="1"/>
  <c r="H10" i="15"/>
  <c r="H48" i="14" s="1"/>
  <c r="P10" i="15"/>
  <c r="P48" i="14" s="1"/>
  <c r="J12" i="15"/>
  <c r="J50" i="14" s="1"/>
  <c r="R12" i="15"/>
  <c r="R50" i="14" s="1"/>
  <c r="K13" i="15"/>
  <c r="K51" i="14" s="1"/>
  <c r="G17" i="15"/>
  <c r="G55" i="14" s="1"/>
  <c r="O17" i="15"/>
  <c r="O55" i="14" s="1"/>
  <c r="C13" i="15"/>
  <c r="B51" i="14" s="1"/>
  <c r="C5" i="15"/>
  <c r="B43" i="14" s="1"/>
  <c r="I41" i="14"/>
  <c r="J15" i="15"/>
  <c r="J53" i="14" s="1"/>
  <c r="N19" i="15"/>
  <c r="N57" i="14" s="1"/>
  <c r="G8" i="15"/>
  <c r="G46" i="14" s="1"/>
  <c r="O8" i="15"/>
  <c r="O46" i="14" s="1"/>
  <c r="H9" i="15"/>
  <c r="H47" i="14" s="1"/>
  <c r="P9" i="15"/>
  <c r="P47" i="14" s="1"/>
  <c r="J11" i="15"/>
  <c r="J49" i="14" s="1"/>
  <c r="R11" i="15"/>
  <c r="R49" i="14" s="1"/>
  <c r="K12" i="15"/>
  <c r="K50" i="14" s="1"/>
  <c r="G16" i="15"/>
  <c r="G54" i="14" s="1"/>
  <c r="O16" i="15"/>
  <c r="O54" i="14" s="1"/>
  <c r="J19" i="15"/>
  <c r="J57" i="14" s="1"/>
  <c r="R19" i="15"/>
  <c r="R57" i="14" s="1"/>
  <c r="C12" i="15"/>
  <c r="B50" i="14" s="1"/>
  <c r="C4" i="15"/>
  <c r="B42" i="14" s="1"/>
  <c r="J4" i="15"/>
  <c r="J42" i="14" s="1"/>
  <c r="B40" i="14"/>
  <c r="H41" i="14"/>
  <c r="G7" i="15"/>
  <c r="G45" i="14" s="1"/>
  <c r="O7" i="15"/>
  <c r="O45" i="14" s="1"/>
  <c r="H8" i="15"/>
  <c r="H46" i="14" s="1"/>
  <c r="P8" i="15"/>
  <c r="P46" i="14" s="1"/>
  <c r="J10" i="15"/>
  <c r="J48" i="14" s="1"/>
  <c r="R10" i="15"/>
  <c r="R48" i="14" s="1"/>
  <c r="K11" i="15"/>
  <c r="K49" i="14" s="1"/>
  <c r="G15" i="15"/>
  <c r="G53" i="14" s="1"/>
  <c r="O15" i="15"/>
  <c r="O53" i="14" s="1"/>
  <c r="H16" i="15"/>
  <c r="H54" i="14" s="1"/>
  <c r="P16" i="15"/>
  <c r="P54" i="14" s="1"/>
  <c r="J18" i="15"/>
  <c r="J56" i="14" s="1"/>
  <c r="R18" i="15"/>
  <c r="R56" i="14" s="1"/>
  <c r="K19" i="15"/>
  <c r="K57" i="14" s="1"/>
  <c r="C19" i="15"/>
  <c r="B57" i="14" s="1"/>
  <c r="C11" i="15"/>
  <c r="B49" i="14" s="1"/>
  <c r="R4" i="15"/>
  <c r="R42" i="14" s="1"/>
  <c r="K4" i="15"/>
  <c r="K42" i="14" s="1"/>
  <c r="Q41" i="14"/>
  <c r="G41" i="14"/>
  <c r="K40" i="14"/>
  <c r="G6" i="15"/>
  <c r="G44" i="14" s="1"/>
  <c r="O6" i="15"/>
  <c r="O44" i="14" s="1"/>
  <c r="J9" i="15"/>
  <c r="J47" i="14" s="1"/>
  <c r="R9" i="15"/>
  <c r="R47" i="14" s="1"/>
  <c r="K10" i="15"/>
  <c r="K48" i="14" s="1"/>
  <c r="G14" i="15"/>
  <c r="G52" i="14" s="1"/>
  <c r="O14" i="15"/>
  <c r="O52" i="14" s="1"/>
  <c r="H15" i="15"/>
  <c r="H53" i="14" s="1"/>
  <c r="P15" i="15"/>
  <c r="P53" i="14" s="1"/>
  <c r="J17" i="15"/>
  <c r="J55" i="14" s="1"/>
  <c r="R17" i="15"/>
  <c r="R55" i="14" s="1"/>
  <c r="K18" i="15"/>
  <c r="K56" i="14" s="1"/>
  <c r="D19" i="15"/>
  <c r="D57" i="14" s="1"/>
  <c r="L19" i="15"/>
  <c r="L57" i="14" s="1"/>
  <c r="C18" i="15"/>
  <c r="B56" i="14" s="1"/>
  <c r="C10" i="15"/>
  <c r="B48" i="14" s="1"/>
  <c r="P41" i="14"/>
  <c r="F41" i="14"/>
  <c r="R7" i="15"/>
  <c r="R45" i="14" s="1"/>
  <c r="G12" i="15"/>
  <c r="G50" i="14" s="1"/>
  <c r="K16" i="15"/>
  <c r="K54" i="14" s="1"/>
  <c r="C8" i="15"/>
  <c r="B46" i="14" s="1"/>
  <c r="G5" i="15"/>
  <c r="G43" i="14" s="1"/>
  <c r="O5" i="15"/>
  <c r="O43" i="14" s="1"/>
  <c r="H6" i="15"/>
  <c r="H44" i="14" s="1"/>
  <c r="P6" i="15"/>
  <c r="P44" i="14" s="1"/>
  <c r="J8" i="15"/>
  <c r="J46" i="14" s="1"/>
  <c r="R8" i="15"/>
  <c r="R46" i="14" s="1"/>
  <c r="K9" i="15"/>
  <c r="K47" i="14" s="1"/>
  <c r="G13" i="15"/>
  <c r="G51" i="14" s="1"/>
  <c r="O13" i="15"/>
  <c r="O51" i="14" s="1"/>
  <c r="H14" i="15"/>
  <c r="H52" i="14" s="1"/>
  <c r="P14" i="15"/>
  <c r="P52" i="14" s="1"/>
  <c r="J16" i="15"/>
  <c r="J54" i="14" s="1"/>
  <c r="R16" i="15"/>
  <c r="R54" i="14" s="1"/>
  <c r="K17" i="15"/>
  <c r="K55" i="14" s="1"/>
  <c r="E19" i="15"/>
  <c r="E57" i="14" s="1"/>
  <c r="M19" i="15"/>
  <c r="M57" i="14" s="1"/>
  <c r="C17" i="15"/>
  <c r="B55" i="14" s="1"/>
  <c r="C9" i="15"/>
  <c r="B47" i="14" s="1"/>
  <c r="O41" i="14"/>
  <c r="E41" i="14"/>
  <c r="J7" i="15"/>
  <c r="J45" i="14" s="1"/>
  <c r="O12" i="15"/>
  <c r="O50" i="14" s="1"/>
  <c r="N41" i="14"/>
  <c r="D41" i="14"/>
  <c r="D32" i="14"/>
  <c r="B32" i="14"/>
  <c r="O32" i="14"/>
  <c r="B36" i="14" s="1"/>
  <c r="D36" i="14"/>
  <c r="O33" i="14"/>
  <c r="B38" i="14" s="1"/>
  <c r="L31" i="14"/>
  <c r="B34" i="14"/>
  <c r="D33" i="14"/>
  <c r="B33" i="14"/>
  <c r="D31" i="14"/>
  <c r="B29" i="14"/>
  <c r="G16" i="4"/>
  <c r="K14" i="9"/>
  <c r="M216" i="15" s="1"/>
  <c r="C14" i="9"/>
  <c r="E216" i="15" s="1"/>
  <c r="J169" i="1"/>
  <c r="J168" i="1"/>
  <c r="K167" i="1"/>
  <c r="A169" i="1"/>
  <c r="B168" i="1" s="1"/>
  <c r="A168" i="1"/>
  <c r="B167" i="1"/>
  <c r="K13" i="9"/>
  <c r="M198" i="15" s="1"/>
  <c r="J160" i="1"/>
  <c r="K159" i="1"/>
  <c r="M155" i="1"/>
  <c r="J154" i="1"/>
  <c r="K153" i="1"/>
  <c r="C13" i="9"/>
  <c r="E198" i="15" s="1"/>
  <c r="B159" i="1"/>
  <c r="A160" i="1"/>
  <c r="D155" i="1"/>
  <c r="A154" i="1"/>
  <c r="B153" i="1"/>
  <c r="K8" i="9"/>
  <c r="C8" i="9"/>
  <c r="K7" i="9"/>
  <c r="M90" i="15" s="1"/>
  <c r="J7" i="9"/>
  <c r="L90" i="15" s="1"/>
  <c r="C7" i="9"/>
  <c r="E90" i="15" s="1"/>
  <c r="B7" i="9"/>
  <c r="D90" i="15" s="1"/>
  <c r="C5" i="9"/>
  <c r="E54" i="15" s="1"/>
  <c r="K142" i="1"/>
  <c r="K141" i="1"/>
  <c r="K140" i="1"/>
  <c r="B142" i="1"/>
  <c r="B141" i="1"/>
  <c r="B140" i="1"/>
  <c r="K133" i="1"/>
  <c r="K132" i="1"/>
  <c r="K131" i="1"/>
  <c r="K130" i="1"/>
  <c r="K129" i="1"/>
  <c r="K128" i="1"/>
  <c r="K127" i="1"/>
  <c r="B127" i="1"/>
  <c r="B133" i="1"/>
  <c r="B132" i="1"/>
  <c r="B131" i="1"/>
  <c r="B130" i="1"/>
  <c r="B129" i="1"/>
  <c r="B128" i="1"/>
  <c r="K8" i="8"/>
  <c r="M104" i="15" s="1"/>
  <c r="C8" i="8"/>
  <c r="E104" i="15" s="1"/>
  <c r="K7" i="8"/>
  <c r="M86" i="15" s="1"/>
  <c r="J7" i="8"/>
  <c r="L86" i="15" s="1"/>
  <c r="C7" i="8"/>
  <c r="E86" i="15" s="1"/>
  <c r="B7" i="8"/>
  <c r="D86" i="15" s="1"/>
  <c r="C5" i="8"/>
  <c r="E50" i="15" s="1"/>
  <c r="L13" i="7"/>
  <c r="J13" i="7"/>
  <c r="L201" i="15" s="1"/>
  <c r="D13" i="7"/>
  <c r="B13" i="7"/>
  <c r="D201" i="15" s="1"/>
  <c r="K114" i="1"/>
  <c r="K113" i="1"/>
  <c r="K112" i="1"/>
  <c r="K111" i="1"/>
  <c r="K110" i="1"/>
  <c r="K109" i="1"/>
  <c r="J109" i="1"/>
  <c r="B110" i="1"/>
  <c r="B111" i="1"/>
  <c r="B112" i="1"/>
  <c r="B113" i="1"/>
  <c r="B114" i="1"/>
  <c r="B109" i="1"/>
  <c r="A109" i="1"/>
  <c r="L17" i="5"/>
  <c r="N269" i="15" s="1"/>
  <c r="D17" i="5"/>
  <c r="F269" i="15" s="1"/>
  <c r="O16" i="5"/>
  <c r="G16" i="5"/>
  <c r="D97" i="1"/>
  <c r="N17" i="5" s="1"/>
  <c r="P269" i="15" s="1"/>
  <c r="K18" i="5"/>
  <c r="M287" i="15" s="1"/>
  <c r="M18" i="15" s="1"/>
  <c r="M56" i="14" s="1"/>
  <c r="C18" i="5"/>
  <c r="E287" i="15" s="1"/>
  <c r="E18" i="15" s="1"/>
  <c r="E56" i="14" s="1"/>
  <c r="K15" i="5"/>
  <c r="M233" i="15" s="1"/>
  <c r="M15" i="15" s="1"/>
  <c r="M53" i="14" s="1"/>
  <c r="K91" i="1"/>
  <c r="K90" i="1"/>
  <c r="C15" i="5"/>
  <c r="E233" i="15" s="1"/>
  <c r="E15" i="15" s="1"/>
  <c r="E53" i="14" s="1"/>
  <c r="B91" i="1"/>
  <c r="B90" i="1"/>
  <c r="G14" i="5"/>
  <c r="I215" i="15" s="1"/>
  <c r="F16" i="2"/>
  <c r="D16" i="2"/>
  <c r="F249" i="15" s="1"/>
  <c r="J71" i="1"/>
  <c r="K70" i="1"/>
  <c r="A71" i="1"/>
  <c r="B70" i="1"/>
  <c r="K14" i="2"/>
  <c r="M66" i="1"/>
  <c r="K65" i="1"/>
  <c r="J66" i="1" s="1"/>
  <c r="C14" i="2"/>
  <c r="D66" i="1"/>
  <c r="B65" i="1"/>
  <c r="A66" i="1" s="1"/>
  <c r="K8" i="7"/>
  <c r="M111" i="15" s="1"/>
  <c r="C8" i="7"/>
  <c r="E111" i="15" s="1"/>
  <c r="K7" i="7"/>
  <c r="M93" i="15" s="1"/>
  <c r="J7" i="7"/>
  <c r="L93" i="15" s="1"/>
  <c r="C7" i="7"/>
  <c r="E93" i="15" s="1"/>
  <c r="B7" i="7"/>
  <c r="D93" i="15" s="1"/>
  <c r="C5" i="7"/>
  <c r="E57" i="15" s="1"/>
  <c r="K10" i="6"/>
  <c r="M138" i="15" s="1"/>
  <c r="C10" i="6"/>
  <c r="E138" i="15" s="1"/>
  <c r="K8" i="6"/>
  <c r="M102" i="15" s="1"/>
  <c r="J8" i="6"/>
  <c r="L102" i="15" s="1"/>
  <c r="C8" i="6"/>
  <c r="E102" i="15" s="1"/>
  <c r="B8" i="6"/>
  <c r="D102" i="15" s="1"/>
  <c r="C5" i="6"/>
  <c r="E48" i="15" s="1"/>
  <c r="K10" i="5"/>
  <c r="M143" i="15" s="1"/>
  <c r="C10" i="5"/>
  <c r="E143" i="15" s="1"/>
  <c r="K8" i="5"/>
  <c r="M107" i="15" s="1"/>
  <c r="M8" i="15" s="1"/>
  <c r="M46" i="14" s="1"/>
  <c r="J8" i="5"/>
  <c r="L107" i="15" s="1"/>
  <c r="C8" i="5"/>
  <c r="B8" i="5"/>
  <c r="D107" i="15" s="1"/>
  <c r="C5" i="5"/>
  <c r="E53" i="15" s="1"/>
  <c r="E5" i="15" s="1"/>
  <c r="E43" i="14" s="1"/>
  <c r="K10" i="4"/>
  <c r="M142" i="15" s="1"/>
  <c r="C10" i="4"/>
  <c r="E142" i="15" s="1"/>
  <c r="K8" i="4"/>
  <c r="M106" i="15" s="1"/>
  <c r="J8" i="4"/>
  <c r="L106" i="15" s="1"/>
  <c r="C8" i="4"/>
  <c r="E106" i="15" s="1"/>
  <c r="B8" i="4"/>
  <c r="D106" i="15" s="1"/>
  <c r="C5" i="4"/>
  <c r="E52" i="15" s="1"/>
  <c r="K10" i="2"/>
  <c r="M141" i="15" s="1"/>
  <c r="K8" i="2"/>
  <c r="M105" i="15" s="1"/>
  <c r="J8" i="2"/>
  <c r="L105" i="15" s="1"/>
  <c r="M29" i="1"/>
  <c r="M26" i="1"/>
  <c r="J26" i="1"/>
  <c r="K29" i="1"/>
  <c r="J30" i="1"/>
  <c r="K30" i="1"/>
  <c r="J32" i="1"/>
  <c r="K32" i="1"/>
  <c r="J33" i="1"/>
  <c r="K35" i="1"/>
  <c r="J36" i="1"/>
  <c r="K36" i="1"/>
  <c r="K37" i="1"/>
  <c r="J38" i="1"/>
  <c r="K38" i="1"/>
  <c r="J39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J50" i="1"/>
  <c r="K51" i="1"/>
  <c r="J52" i="1"/>
  <c r="K52" i="1"/>
  <c r="J53" i="1"/>
  <c r="K53" i="1"/>
  <c r="J54" i="1"/>
  <c r="K54" i="1"/>
  <c r="J55" i="1"/>
  <c r="K57" i="1"/>
  <c r="K25" i="1"/>
  <c r="J25" i="1"/>
  <c r="C10" i="2"/>
  <c r="E141" i="15" s="1"/>
  <c r="C8" i="2"/>
  <c r="E105" i="15" s="1"/>
  <c r="B8" i="2"/>
  <c r="D105" i="15" s="1"/>
  <c r="C5" i="2"/>
  <c r="E51" i="15" s="1"/>
  <c r="A56" i="1"/>
  <c r="A51" i="1"/>
  <c r="B50" i="1"/>
  <c r="K50" i="1" s="1"/>
  <c r="B14" i="1"/>
  <c r="B15" i="1"/>
  <c r="B16" i="1"/>
  <c r="A41" i="1" s="1"/>
  <c r="B17" i="1"/>
  <c r="B34" i="1" s="1"/>
  <c r="K34" i="1" s="1"/>
  <c r="B18" i="1"/>
  <c r="B13" i="1"/>
  <c r="D16" i="4" l="1"/>
  <c r="F250" i="15" s="1"/>
  <c r="I250" i="15"/>
  <c r="O13" i="7"/>
  <c r="Q201" i="15" s="1"/>
  <c r="N201" i="15"/>
  <c r="C13" i="16"/>
  <c r="E199" i="15" s="1"/>
  <c r="E108" i="15"/>
  <c r="D16" i="5"/>
  <c r="F251" i="15" s="1"/>
  <c r="F16" i="15" s="1"/>
  <c r="F54" i="14" s="1"/>
  <c r="I251" i="15"/>
  <c r="I16" i="15" s="1"/>
  <c r="I54" i="14" s="1"/>
  <c r="L16" i="5"/>
  <c r="N251" i="15" s="1"/>
  <c r="N16" i="15" s="1"/>
  <c r="N54" i="14" s="1"/>
  <c r="Q251" i="15"/>
  <c r="Q16" i="15" s="1"/>
  <c r="Q54" i="14" s="1"/>
  <c r="K13" i="16"/>
  <c r="M199" i="15" s="1"/>
  <c r="M108" i="15"/>
  <c r="K14" i="4"/>
  <c r="M214" i="15" s="1"/>
  <c r="M213" i="15"/>
  <c r="M14" i="15" s="1"/>
  <c r="M52" i="14" s="1"/>
  <c r="G13" i="7"/>
  <c r="I201" i="15" s="1"/>
  <c r="F201" i="15"/>
  <c r="C14" i="4"/>
  <c r="E214" i="15" s="1"/>
  <c r="E213" i="15"/>
  <c r="C12" i="16"/>
  <c r="E107" i="15"/>
  <c r="E8" i="15" s="1"/>
  <c r="E46" i="14" s="1"/>
  <c r="N16" i="2"/>
  <c r="P249" i="15" s="1"/>
  <c r="H249" i="15"/>
  <c r="C14" i="11"/>
  <c r="E208" i="15" s="1"/>
  <c r="C14" i="13"/>
  <c r="E211" i="15" s="1"/>
  <c r="K14" i="11"/>
  <c r="M208" i="15" s="1"/>
  <c r="K14" i="13"/>
  <c r="M211" i="15" s="1"/>
  <c r="A239" i="1"/>
  <c r="J239" i="1" s="1"/>
  <c r="A227" i="1"/>
  <c r="B238" i="1"/>
  <c r="A40" i="1"/>
  <c r="J40" i="1" s="1"/>
  <c r="A229" i="1"/>
  <c r="K12" i="9"/>
  <c r="M180" i="15" s="1"/>
  <c r="A28" i="1"/>
  <c r="J28" i="1" s="1"/>
  <c r="A228" i="1"/>
  <c r="C12" i="9"/>
  <c r="E180" i="15" s="1"/>
  <c r="A240" i="1"/>
  <c r="A230" i="1"/>
  <c r="O14" i="5"/>
  <c r="D14" i="5"/>
  <c r="F215" i="15" s="1"/>
  <c r="A57" i="1"/>
  <c r="A180" i="1"/>
  <c r="A188" i="1"/>
  <c r="O17" i="5"/>
  <c r="Q269" i="15" s="1"/>
  <c r="J161" i="1"/>
  <c r="F17" i="5"/>
  <c r="A161" i="1"/>
  <c r="L8" i="6"/>
  <c r="D7" i="9"/>
  <c r="B160" i="1"/>
  <c r="K160" i="1"/>
  <c r="O7" i="8"/>
  <c r="L7" i="9"/>
  <c r="G8" i="4"/>
  <c r="O8" i="4"/>
  <c r="G7" i="8"/>
  <c r="K168" i="1"/>
  <c r="D8" i="5"/>
  <c r="B71" i="1"/>
  <c r="J72" i="1"/>
  <c r="A72" i="1"/>
  <c r="G16" i="2"/>
  <c r="I249" i="15" s="1"/>
  <c r="B79" i="1"/>
  <c r="L16" i="2"/>
  <c r="N249" i="15" s="1"/>
  <c r="A80" i="1"/>
  <c r="K79" i="1"/>
  <c r="J80" i="1"/>
  <c r="K71" i="1"/>
  <c r="L8" i="2"/>
  <c r="D8" i="6"/>
  <c r="D8" i="2"/>
  <c r="L8" i="5"/>
  <c r="L7" i="7"/>
  <c r="D7" i="7"/>
  <c r="J56" i="1"/>
  <c r="J51" i="1"/>
  <c r="J41" i="1"/>
  <c r="B27" i="1"/>
  <c r="K27" i="1" s="1"/>
  <c r="A35" i="1"/>
  <c r="J35" i="1" s="1"/>
  <c r="B56" i="1"/>
  <c r="B26" i="1"/>
  <c r="A34" i="1"/>
  <c r="A27" i="1"/>
  <c r="B28" i="1"/>
  <c r="B39" i="1"/>
  <c r="A29" i="1"/>
  <c r="B33" i="1"/>
  <c r="B40" i="1"/>
  <c r="E14" i="15" l="1"/>
  <c r="E52" i="14" s="1"/>
  <c r="L14" i="5"/>
  <c r="N215" i="15" s="1"/>
  <c r="Q215" i="15"/>
  <c r="E181" i="15"/>
  <c r="D12" i="16"/>
  <c r="G17" i="5"/>
  <c r="I269" i="15" s="1"/>
  <c r="H269" i="15"/>
  <c r="G8" i="6"/>
  <c r="I102" i="15" s="1"/>
  <c r="F102" i="15"/>
  <c r="O8" i="2"/>
  <c r="Q105" i="15" s="1"/>
  <c r="N105" i="15"/>
  <c r="G7" i="9"/>
  <c r="I90" i="15" s="1"/>
  <c r="F90" i="15"/>
  <c r="O8" i="6"/>
  <c r="Q102" i="15" s="1"/>
  <c r="N102" i="15"/>
  <c r="D7" i="8"/>
  <c r="F86" i="15" s="1"/>
  <c r="I86" i="15"/>
  <c r="L8" i="4"/>
  <c r="N106" i="15" s="1"/>
  <c r="Q106" i="15"/>
  <c r="O7" i="7"/>
  <c r="Q93" i="15" s="1"/>
  <c r="N93" i="15"/>
  <c r="D8" i="4"/>
  <c r="F106" i="15" s="1"/>
  <c r="I106" i="15"/>
  <c r="G7" i="7"/>
  <c r="I93" i="15" s="1"/>
  <c r="F93" i="15"/>
  <c r="O8" i="5"/>
  <c r="Q107" i="15" s="1"/>
  <c r="N107" i="15"/>
  <c r="O7" i="9"/>
  <c r="Q90" i="15" s="1"/>
  <c r="N90" i="15"/>
  <c r="G8" i="5"/>
  <c r="I107" i="15" s="1"/>
  <c r="F107" i="15"/>
  <c r="G8" i="2"/>
  <c r="I105" i="15" s="1"/>
  <c r="F105" i="15"/>
  <c r="L7" i="8"/>
  <c r="N86" i="15" s="1"/>
  <c r="Q86" i="15"/>
  <c r="B227" i="1"/>
  <c r="K227" i="1" s="1"/>
  <c r="J228" i="1"/>
  <c r="B229" i="1"/>
  <c r="K229" i="1" s="1"/>
  <c r="J230" i="1"/>
  <c r="A234" i="1"/>
  <c r="B239" i="1"/>
  <c r="J240" i="1"/>
  <c r="K238" i="1"/>
  <c r="J227" i="1"/>
  <c r="B226" i="1"/>
  <c r="B228" i="1"/>
  <c r="K228" i="1" s="1"/>
  <c r="J229" i="1"/>
  <c r="B187" i="1"/>
  <c r="J188" i="1"/>
  <c r="J57" i="1"/>
  <c r="J180" i="1"/>
  <c r="B179" i="1"/>
  <c r="J27" i="1"/>
  <c r="O16" i="2"/>
  <c r="Q249" i="15" s="1"/>
  <c r="O16" i="4"/>
  <c r="K56" i="1"/>
  <c r="J34" i="1"/>
  <c r="K26" i="1"/>
  <c r="K40" i="1"/>
  <c r="K28" i="1"/>
  <c r="K33" i="1"/>
  <c r="J29" i="1"/>
  <c r="K39" i="1"/>
  <c r="G12" i="16" l="1"/>
  <c r="I181" i="15" s="1"/>
  <c r="F181" i="15"/>
  <c r="L16" i="4"/>
  <c r="N250" i="15" s="1"/>
  <c r="Q250" i="15"/>
  <c r="K226" i="1"/>
  <c r="K239" i="1"/>
  <c r="J234" i="1"/>
  <c r="K179" i="1"/>
  <c r="K187" i="1"/>
  <c r="B49" i="1" l="1"/>
  <c r="B55" i="1" l="1"/>
  <c r="K49" i="1"/>
  <c r="K55" i="1" l="1"/>
  <c r="G10" i="18" l="1"/>
  <c r="I149" i="15" s="1"/>
  <c r="O10" i="18"/>
  <c r="Q149" i="15" s="1"/>
  <c r="G12" i="18" l="1"/>
  <c r="D2" i="1"/>
  <c r="G2" i="1" s="1"/>
  <c r="B10" i="4" l="1"/>
  <c r="B8" i="19"/>
  <c r="C179" i="1"/>
  <c r="C178" i="1"/>
  <c r="B6" i="6"/>
  <c r="B4" i="12"/>
  <c r="C289" i="1"/>
  <c r="C325" i="1"/>
  <c r="E325" i="1" s="1"/>
  <c r="C153" i="1"/>
  <c r="C308" i="1"/>
  <c r="O12" i="18"/>
  <c r="I185" i="15"/>
  <c r="B8" i="9"/>
  <c r="B8" i="8" s="1"/>
  <c r="B6" i="9"/>
  <c r="B4" i="9"/>
  <c r="C65" i="1"/>
  <c r="C272" i="1"/>
  <c r="C79" i="1"/>
  <c r="C258" i="1"/>
  <c r="F17" i="2"/>
  <c r="H267" i="15" s="1"/>
  <c r="C226" i="1"/>
  <c r="C55" i="1"/>
  <c r="E55" i="1" s="1"/>
  <c r="B10" i="6"/>
  <c r="B9" i="19" s="1"/>
  <c r="C187" i="1"/>
  <c r="B7" i="6"/>
  <c r="B6" i="19" s="1"/>
  <c r="B4" i="6"/>
  <c r="B4" i="19" s="1"/>
  <c r="D42" i="15" s="1"/>
  <c r="D3" i="1"/>
  <c r="E5" i="1" s="1"/>
  <c r="E6" i="1" s="1"/>
  <c r="B6" i="2" s="1"/>
  <c r="C49" i="1"/>
  <c r="C91" i="1"/>
  <c r="C92" i="1"/>
  <c r="C142" i="1"/>
  <c r="E142" i="1" s="1"/>
  <c r="C111" i="1"/>
  <c r="E111" i="1" s="1"/>
  <c r="C141" i="1"/>
  <c r="E141" i="1" s="1"/>
  <c r="C112" i="1"/>
  <c r="E112" i="1" s="1"/>
  <c r="C57" i="1"/>
  <c r="E57" i="1" s="1"/>
  <c r="C71" i="1"/>
  <c r="E71" i="1" s="1"/>
  <c r="C252" i="1"/>
  <c r="C29" i="1"/>
  <c r="E29" i="1" s="1"/>
  <c r="C108" i="1"/>
  <c r="C273" i="1"/>
  <c r="E273" i="1" s="1"/>
  <c r="C274" i="1"/>
  <c r="E274" i="1" s="1"/>
  <c r="C134" i="1"/>
  <c r="E134" i="1" s="1"/>
  <c r="C113" i="1"/>
  <c r="E113" i="1" s="1"/>
  <c r="C34" i="1"/>
  <c r="E34" i="1" s="1"/>
  <c r="C327" i="1"/>
  <c r="E327" i="1" s="1"/>
  <c r="C168" i="1"/>
  <c r="C129" i="1"/>
  <c r="E129" i="1" s="1"/>
  <c r="C51" i="1"/>
  <c r="E51" i="1" s="1"/>
  <c r="C110" i="1"/>
  <c r="E110" i="1" s="1"/>
  <c r="C72" i="1"/>
  <c r="E72" i="1" s="1"/>
  <c r="C266" i="1"/>
  <c r="E266" i="1" s="1"/>
  <c r="C290" i="1"/>
  <c r="E290" i="1" s="1"/>
  <c r="C114" i="1"/>
  <c r="E114" i="1" s="1"/>
  <c r="C133" i="1"/>
  <c r="E133" i="1" s="1"/>
  <c r="C128" i="1"/>
  <c r="E128" i="1" s="1"/>
  <c r="C240" i="1"/>
  <c r="E240" i="1" s="1"/>
  <c r="C239" i="1"/>
  <c r="E239" i="1" s="1"/>
  <c r="C328" i="1"/>
  <c r="E328" i="1" s="1"/>
  <c r="C109" i="1"/>
  <c r="E109" i="1" s="1"/>
  <c r="C41" i="1"/>
  <c r="E41" i="1" s="1"/>
  <c r="D28" i="1"/>
  <c r="C28" i="1"/>
  <c r="C115" i="1"/>
  <c r="E115" i="1" s="1"/>
  <c r="C246" i="1"/>
  <c r="C247" i="1"/>
  <c r="E247" i="1" s="1"/>
  <c r="C259" i="1"/>
  <c r="E259" i="1" s="1"/>
  <c r="C154" i="1"/>
  <c r="C132" i="1"/>
  <c r="E132" i="1" s="1"/>
  <c r="C130" i="1"/>
  <c r="E130" i="1" s="1"/>
  <c r="D227" i="1"/>
  <c r="C180" i="1"/>
  <c r="C309" i="1"/>
  <c r="D27" i="1"/>
  <c r="C169" i="1"/>
  <c r="C131" i="1"/>
  <c r="E131" i="1" s="1"/>
  <c r="C161" i="1"/>
  <c r="C80" i="1"/>
  <c r="E80" i="1" s="1"/>
  <c r="C40" i="1"/>
  <c r="C329" i="1"/>
  <c r="E329" i="1" s="1"/>
  <c r="C143" i="1"/>
  <c r="E143" i="1" s="1"/>
  <c r="C291" i="1"/>
  <c r="E291" i="1" s="1"/>
  <c r="C248" i="1"/>
  <c r="E248" i="1" s="1"/>
  <c r="A323" i="1"/>
  <c r="D40" i="1"/>
  <c r="D228" i="1"/>
  <c r="C35" i="1"/>
  <c r="E35" i="1" s="1"/>
  <c r="C66" i="1"/>
  <c r="C27" i="1"/>
  <c r="E27" i="1" s="1"/>
  <c r="C326" i="1"/>
  <c r="E326" i="1" s="1"/>
  <c r="C227" i="1"/>
  <c r="C140" i="1"/>
  <c r="C234" i="1"/>
  <c r="C50" i="1"/>
  <c r="E50" i="1" s="1"/>
  <c r="C160" i="1"/>
  <c r="C230" i="1"/>
  <c r="C127" i="1"/>
  <c r="C167" i="1"/>
  <c r="C56" i="1"/>
  <c r="E56" i="1" s="1"/>
  <c r="C188" i="1"/>
  <c r="C70" i="1"/>
  <c r="E70" i="1" s="1"/>
  <c r="C228" i="1"/>
  <c r="C26" i="1"/>
  <c r="E26" i="1" s="1"/>
  <c r="C229" i="1"/>
  <c r="C33" i="1"/>
  <c r="C238" i="1"/>
  <c r="C39" i="1"/>
  <c r="E39" i="1" s="1"/>
  <c r="C265" i="1"/>
  <c r="B8" i="7" l="1"/>
  <c r="D111" i="15" s="1"/>
  <c r="B8" i="17"/>
  <c r="D112" i="15" s="1"/>
  <c r="B8" i="18"/>
  <c r="J10" i="4"/>
  <c r="J6" i="5"/>
  <c r="J6" i="2"/>
  <c r="B6" i="5"/>
  <c r="D71" i="15" s="1"/>
  <c r="H277" i="15"/>
  <c r="H17" i="15" s="1"/>
  <c r="H55" i="14" s="1"/>
  <c r="D78" i="15"/>
  <c r="D9" i="19"/>
  <c r="D132" i="15"/>
  <c r="D8" i="19"/>
  <c r="D114" i="15"/>
  <c r="B17" i="19"/>
  <c r="J8" i="19"/>
  <c r="L178" i="1"/>
  <c r="E40" i="1"/>
  <c r="E42" i="1" s="1"/>
  <c r="C181" i="1"/>
  <c r="B15" i="10" s="1"/>
  <c r="E330" i="1"/>
  <c r="D13" i="18" s="1"/>
  <c r="F203" i="15" s="1"/>
  <c r="J4" i="12"/>
  <c r="D120" i="15"/>
  <c r="D9" i="6"/>
  <c r="D9" i="10"/>
  <c r="D128" i="15"/>
  <c r="D123" i="15"/>
  <c r="D9" i="2"/>
  <c r="D125" i="15"/>
  <c r="D9" i="5"/>
  <c r="B5" i="12"/>
  <c r="F5" i="12" s="1"/>
  <c r="B7" i="12"/>
  <c r="C162" i="1"/>
  <c r="B13" i="9" s="1"/>
  <c r="D13" i="9" s="1"/>
  <c r="B6" i="8"/>
  <c r="D68" i="15" s="1"/>
  <c r="B7" i="4"/>
  <c r="D88" i="15" s="1"/>
  <c r="J4" i="9"/>
  <c r="J8" i="9"/>
  <c r="J8" i="8" s="1"/>
  <c r="L325" i="1"/>
  <c r="N325" i="1" s="1"/>
  <c r="L289" i="1"/>
  <c r="L153" i="1"/>
  <c r="L308" i="1"/>
  <c r="C189" i="1"/>
  <c r="B17" i="6" s="1"/>
  <c r="D17" i="6" s="1"/>
  <c r="B4" i="8"/>
  <c r="D32" i="15" s="1"/>
  <c r="B6" i="4"/>
  <c r="G6" i="4" s="1"/>
  <c r="B4" i="18"/>
  <c r="B6" i="18" s="1"/>
  <c r="D77" i="15" s="1"/>
  <c r="B4" i="7"/>
  <c r="B6" i="7" s="1"/>
  <c r="D75" i="15" s="1"/>
  <c r="B4" i="4"/>
  <c r="B9" i="4" s="1"/>
  <c r="G9" i="4" s="1"/>
  <c r="B4" i="17"/>
  <c r="B6" i="17" s="1"/>
  <c r="D76" i="15" s="1"/>
  <c r="Q185" i="15"/>
  <c r="C170" i="1"/>
  <c r="B14" i="9" s="1"/>
  <c r="D14" i="9" s="1"/>
  <c r="C67" i="1"/>
  <c r="B14" i="2" s="1"/>
  <c r="D213" i="15" s="1"/>
  <c r="B10" i="2"/>
  <c r="D141" i="15" s="1"/>
  <c r="B10" i="5"/>
  <c r="D143" i="15" s="1"/>
  <c r="B4" i="5"/>
  <c r="B4" i="2"/>
  <c r="D33" i="15" s="1"/>
  <c r="L65" i="1"/>
  <c r="L272" i="1"/>
  <c r="L258" i="1"/>
  <c r="L226" i="1"/>
  <c r="L79" i="1"/>
  <c r="B7" i="2"/>
  <c r="D87" i="15" s="1"/>
  <c r="B7" i="5"/>
  <c r="D89" i="15" s="1"/>
  <c r="C93" i="1"/>
  <c r="C155" i="1"/>
  <c r="B12" i="9" s="1"/>
  <c r="D180" i="15" s="1"/>
  <c r="L187" i="1"/>
  <c r="J10" i="6"/>
  <c r="J9" i="19" s="1"/>
  <c r="J7" i="6"/>
  <c r="J6" i="19" s="1"/>
  <c r="J4" i="6"/>
  <c r="J4" i="19" s="1"/>
  <c r="L42" i="15" s="1"/>
  <c r="E28" i="1"/>
  <c r="E30" i="1" s="1"/>
  <c r="C4" i="19" s="1"/>
  <c r="E42" i="15" s="1"/>
  <c r="D6" i="2"/>
  <c r="C310" i="1"/>
  <c r="E310" i="1" s="1"/>
  <c r="E73" i="1"/>
  <c r="G15" i="2" s="1"/>
  <c r="I231" i="15" s="1"/>
  <c r="C135" i="1"/>
  <c r="C136" i="1" s="1"/>
  <c r="B12" i="8" s="1"/>
  <c r="D176" i="15" s="1"/>
  <c r="E127" i="1"/>
  <c r="E135" i="1" s="1"/>
  <c r="G12" i="8" s="1"/>
  <c r="E140" i="1"/>
  <c r="E144" i="1" s="1"/>
  <c r="G13" i="8" s="1"/>
  <c r="C144" i="1"/>
  <c r="C145" i="1" s="1"/>
  <c r="B13" i="8" s="1"/>
  <c r="D194" i="15" s="1"/>
  <c r="E49" i="1"/>
  <c r="E52" i="1" s="1"/>
  <c r="C11" i="19" s="1"/>
  <c r="E168" i="15" s="1"/>
  <c r="C52" i="1"/>
  <c r="B11" i="19" s="1"/>
  <c r="D168" i="15" s="1"/>
  <c r="D36" i="15"/>
  <c r="F229" i="1"/>
  <c r="E229" i="1"/>
  <c r="D72" i="15"/>
  <c r="B11" i="16"/>
  <c r="B12" i="13"/>
  <c r="D84" i="15"/>
  <c r="E79" i="1"/>
  <c r="E81" i="1" s="1"/>
  <c r="C17" i="2" s="1"/>
  <c r="C81" i="1"/>
  <c r="B17" i="2" s="1"/>
  <c r="D29" i="15"/>
  <c r="F4" i="12"/>
  <c r="H29" i="15" s="1"/>
  <c r="B6" i="12"/>
  <c r="D4" i="12"/>
  <c r="B217" i="1"/>
  <c r="B9" i="12" s="1"/>
  <c r="E226" i="1"/>
  <c r="F226" i="1"/>
  <c r="C231" i="1"/>
  <c r="E238" i="1"/>
  <c r="E241" i="1" s="1"/>
  <c r="C241" i="1"/>
  <c r="E230" i="1"/>
  <c r="F230" i="1"/>
  <c r="E227" i="1"/>
  <c r="F227" i="1"/>
  <c r="D108" i="15"/>
  <c r="D8" i="9"/>
  <c r="B14" i="13"/>
  <c r="B13" i="16"/>
  <c r="M40" i="1"/>
  <c r="L133" i="1"/>
  <c r="N133" i="1" s="1"/>
  <c r="L141" i="1"/>
  <c r="N141" i="1" s="1"/>
  <c r="L113" i="1"/>
  <c r="N113" i="1" s="1"/>
  <c r="L128" i="1"/>
  <c r="N128" i="1" s="1"/>
  <c r="L80" i="1"/>
  <c r="N80" i="1" s="1"/>
  <c r="L28" i="1"/>
  <c r="L115" i="1"/>
  <c r="N115" i="1" s="1"/>
  <c r="L92" i="1"/>
  <c r="M228" i="1"/>
  <c r="L273" i="1"/>
  <c r="N273" i="1" s="1"/>
  <c r="L290" i="1"/>
  <c r="N290" i="1" s="1"/>
  <c r="L51" i="1"/>
  <c r="N51" i="1" s="1"/>
  <c r="L40" i="1"/>
  <c r="M28" i="1"/>
  <c r="L112" i="1"/>
  <c r="N112" i="1" s="1"/>
  <c r="L328" i="1"/>
  <c r="N328" i="1" s="1"/>
  <c r="L143" i="1"/>
  <c r="N143" i="1" s="1"/>
  <c r="L329" i="1"/>
  <c r="N329" i="1" s="1"/>
  <c r="L110" i="1"/>
  <c r="N110" i="1" s="1"/>
  <c r="L161" i="1"/>
  <c r="L56" i="1"/>
  <c r="N56" i="1" s="1"/>
  <c r="L114" i="1"/>
  <c r="N114" i="1" s="1"/>
  <c r="L327" i="1"/>
  <c r="N327" i="1" s="1"/>
  <c r="L248" i="1"/>
  <c r="N248" i="1" s="1"/>
  <c r="L274" i="1"/>
  <c r="N274" i="1" s="1"/>
  <c r="L71" i="1"/>
  <c r="N71" i="1" s="1"/>
  <c r="L72" i="1"/>
  <c r="N72" i="1" s="1"/>
  <c r="L180" i="1"/>
  <c r="L240" i="1"/>
  <c r="N240" i="1" s="1"/>
  <c r="L142" i="1"/>
  <c r="N142" i="1" s="1"/>
  <c r="L35" i="1"/>
  <c r="N35" i="1" s="1"/>
  <c r="L259" i="1"/>
  <c r="N259" i="1" s="1"/>
  <c r="L66" i="1"/>
  <c r="L27" i="1"/>
  <c r="N27" i="1" s="1"/>
  <c r="L111" i="1"/>
  <c r="N111" i="1" s="1"/>
  <c r="L309" i="1"/>
  <c r="L326" i="1"/>
  <c r="N326" i="1" s="1"/>
  <c r="L132" i="1"/>
  <c r="N132" i="1" s="1"/>
  <c r="L247" i="1"/>
  <c r="N247" i="1" s="1"/>
  <c r="L168" i="1"/>
  <c r="L57" i="1"/>
  <c r="N57" i="1" s="1"/>
  <c r="L179" i="1"/>
  <c r="L131" i="1"/>
  <c r="N131" i="1" s="1"/>
  <c r="M27" i="1"/>
  <c r="L109" i="1"/>
  <c r="N109" i="1" s="1"/>
  <c r="M227" i="1"/>
  <c r="L134" i="1"/>
  <c r="N134" i="1" s="1"/>
  <c r="L41" i="1"/>
  <c r="N41" i="1" s="1"/>
  <c r="L34" i="1"/>
  <c r="N34" i="1" s="1"/>
  <c r="L239" i="1"/>
  <c r="N239" i="1" s="1"/>
  <c r="L266" i="1"/>
  <c r="N266" i="1" s="1"/>
  <c r="L154" i="1"/>
  <c r="L169" i="1"/>
  <c r="L129" i="1"/>
  <c r="N129" i="1" s="1"/>
  <c r="L291" i="1"/>
  <c r="N291" i="1" s="1"/>
  <c r="L50" i="1"/>
  <c r="N50" i="1" s="1"/>
  <c r="L130" i="1"/>
  <c r="N130" i="1" s="1"/>
  <c r="L29" i="1"/>
  <c r="N29" i="1" s="1"/>
  <c r="L229" i="1"/>
  <c r="L230" i="1"/>
  <c r="L70" i="1"/>
  <c r="N70" i="1" s="1"/>
  <c r="L160" i="1"/>
  <c r="L127" i="1"/>
  <c r="L227" i="1"/>
  <c r="L252" i="1"/>
  <c r="L228" i="1"/>
  <c r="L108" i="1"/>
  <c r="L167" i="1"/>
  <c r="L246" i="1"/>
  <c r="L234" i="1"/>
  <c r="G1" i="1"/>
  <c r="J6" i="6" s="1"/>
  <c r="L140" i="1"/>
  <c r="L188" i="1"/>
  <c r="L238" i="1"/>
  <c r="L33" i="1"/>
  <c r="L39" i="1"/>
  <c r="N39" i="1" s="1"/>
  <c r="L91" i="1"/>
  <c r="L49" i="1"/>
  <c r="L55" i="1"/>
  <c r="L26" i="1"/>
  <c r="N26" i="1" s="1"/>
  <c r="L265" i="1"/>
  <c r="E258" i="1"/>
  <c r="E261" i="1" s="1"/>
  <c r="C261" i="1"/>
  <c r="E33" i="1"/>
  <c r="E36" i="1" s="1"/>
  <c r="C36" i="1"/>
  <c r="B5" i="19" s="1"/>
  <c r="E272" i="1"/>
  <c r="E275" i="1" s="1"/>
  <c r="C275" i="1"/>
  <c r="D104" i="15"/>
  <c r="G8" i="8"/>
  <c r="C116" i="1"/>
  <c r="C117" i="1" s="1"/>
  <c r="B12" i="7" s="1"/>
  <c r="D183" i="15" s="1"/>
  <c r="E108" i="1"/>
  <c r="E116" i="1" s="1"/>
  <c r="D12" i="7" s="1"/>
  <c r="D30" i="15"/>
  <c r="E289" i="1"/>
  <c r="E293" i="1" s="1"/>
  <c r="C293" i="1"/>
  <c r="B9" i="16" s="1"/>
  <c r="E265" i="1"/>
  <c r="E267" i="1" s="1"/>
  <c r="C267" i="1"/>
  <c r="E228" i="1"/>
  <c r="F228" i="1"/>
  <c r="E234" i="1"/>
  <c r="B5" i="16"/>
  <c r="B5" i="13"/>
  <c r="B5" i="11"/>
  <c r="D138" i="15"/>
  <c r="D10" i="6"/>
  <c r="C249" i="1"/>
  <c r="E246" i="1"/>
  <c r="E249" i="1" s="1"/>
  <c r="B15" i="6"/>
  <c r="D142" i="15"/>
  <c r="G10" i="4"/>
  <c r="B8" i="13"/>
  <c r="B8" i="11"/>
  <c r="B8" i="16"/>
  <c r="E252" i="1"/>
  <c r="E58" i="1"/>
  <c r="C12" i="19" s="1"/>
  <c r="E186" i="15" s="1"/>
  <c r="D113" i="15"/>
  <c r="D8" i="18"/>
  <c r="D66" i="15"/>
  <c r="D6" i="6"/>
  <c r="C58" i="1"/>
  <c r="B12" i="19" s="1"/>
  <c r="D186" i="15" s="1"/>
  <c r="D8" i="17" l="1"/>
  <c r="D8" i="7"/>
  <c r="F111" i="15" s="1"/>
  <c r="J8" i="7"/>
  <c r="L111" i="15" s="1"/>
  <c r="J8" i="17"/>
  <c r="L8" i="17" s="1"/>
  <c r="J8" i="18"/>
  <c r="L8" i="18" s="1"/>
  <c r="B6" i="10"/>
  <c r="D74" i="15" s="1"/>
  <c r="D264" i="15"/>
  <c r="L8" i="19"/>
  <c r="L114" i="15"/>
  <c r="D17" i="19"/>
  <c r="F276" i="15" s="1"/>
  <c r="D276" i="15"/>
  <c r="L78" i="15"/>
  <c r="L9" i="19"/>
  <c r="L132" i="15"/>
  <c r="G8" i="19"/>
  <c r="I114" i="15" s="1"/>
  <c r="F114" i="15"/>
  <c r="D5" i="19"/>
  <c r="D60" i="15"/>
  <c r="G9" i="19"/>
  <c r="I132" i="15" s="1"/>
  <c r="F132" i="15"/>
  <c r="D6" i="5"/>
  <c r="G6" i="5" s="1"/>
  <c r="I71" i="15" s="1"/>
  <c r="D11" i="19"/>
  <c r="D12" i="19"/>
  <c r="D4" i="19"/>
  <c r="J17" i="19"/>
  <c r="G17" i="19"/>
  <c r="I276" i="15" s="1"/>
  <c r="B15" i="5"/>
  <c r="D233" i="15" s="1"/>
  <c r="B14" i="19"/>
  <c r="C6" i="18"/>
  <c r="E77" i="15" s="1"/>
  <c r="C6" i="19"/>
  <c r="D40" i="15"/>
  <c r="B14" i="4"/>
  <c r="D214" i="15" s="1"/>
  <c r="D41" i="15"/>
  <c r="D198" i="15"/>
  <c r="D14" i="2"/>
  <c r="F213" i="15" s="1"/>
  <c r="D10" i="2"/>
  <c r="F141" i="15" s="1"/>
  <c r="G13" i="18"/>
  <c r="I203" i="15" s="1"/>
  <c r="L93" i="1"/>
  <c r="D216" i="15"/>
  <c r="L155" i="1"/>
  <c r="J12" i="9" s="1"/>
  <c r="D124" i="15"/>
  <c r="L310" i="1"/>
  <c r="N310" i="1" s="1"/>
  <c r="D39" i="15"/>
  <c r="G15" i="4"/>
  <c r="D15" i="4" s="1"/>
  <c r="F232" i="15" s="1"/>
  <c r="C7" i="6"/>
  <c r="E84" i="15" s="1"/>
  <c r="F125" i="15"/>
  <c r="G9" i="5"/>
  <c r="I125" i="15" s="1"/>
  <c r="L9" i="6"/>
  <c r="L120" i="15"/>
  <c r="L123" i="15"/>
  <c r="L9" i="2"/>
  <c r="D34" i="15"/>
  <c r="G9" i="2"/>
  <c r="I123" i="15" s="1"/>
  <c r="F123" i="15"/>
  <c r="L9" i="10"/>
  <c r="L128" i="15"/>
  <c r="L9" i="5"/>
  <c r="L125" i="15"/>
  <c r="J7" i="12"/>
  <c r="J5" i="12"/>
  <c r="G9" i="10"/>
  <c r="I128" i="15" s="1"/>
  <c r="F128" i="15"/>
  <c r="G9" i="6"/>
  <c r="I120" i="15" s="1"/>
  <c r="F120" i="15"/>
  <c r="D70" i="15"/>
  <c r="J4" i="17"/>
  <c r="J6" i="17" s="1"/>
  <c r="L76" i="15" s="1"/>
  <c r="J4" i="7"/>
  <c r="J6" i="7" s="1"/>
  <c r="L75" i="15" s="1"/>
  <c r="J6" i="9"/>
  <c r="J6" i="8" s="1"/>
  <c r="L68" i="15" s="1"/>
  <c r="J4" i="4"/>
  <c r="L34" i="15" s="1"/>
  <c r="J4" i="18"/>
  <c r="J6" i="18" s="1"/>
  <c r="L77" i="15" s="1"/>
  <c r="J4" i="8"/>
  <c r="L32" i="15" s="1"/>
  <c r="N17" i="2"/>
  <c r="P267" i="15" s="1"/>
  <c r="N330" i="1"/>
  <c r="L13" i="18" s="1"/>
  <c r="O13" i="18" s="1"/>
  <c r="D12" i="9"/>
  <c r="F180" i="15" s="1"/>
  <c r="B11" i="18"/>
  <c r="D167" i="15" s="1"/>
  <c r="B12" i="11"/>
  <c r="D172" i="15" s="1"/>
  <c r="B18" i="5"/>
  <c r="B7" i="10"/>
  <c r="D92" i="15" s="1"/>
  <c r="J4" i="2"/>
  <c r="L33" i="15" s="1"/>
  <c r="J4" i="5"/>
  <c r="J4" i="10" s="1"/>
  <c r="L38" i="15" s="1"/>
  <c r="J7" i="5"/>
  <c r="L89" i="15" s="1"/>
  <c r="J7" i="2"/>
  <c r="L87" i="15" s="1"/>
  <c r="B4" i="10"/>
  <c r="D38" i="15" s="1"/>
  <c r="D35" i="15"/>
  <c r="J10" i="5"/>
  <c r="J10" i="10" s="1"/>
  <c r="L146" i="15" s="1"/>
  <c r="J10" i="2"/>
  <c r="L10" i="2" s="1"/>
  <c r="B14" i="11"/>
  <c r="D208" i="15" s="1"/>
  <c r="B10" i="10"/>
  <c r="D10" i="5"/>
  <c r="C4" i="18"/>
  <c r="E41" i="15" s="1"/>
  <c r="C4" i="17"/>
  <c r="E40" i="15" s="1"/>
  <c r="C4" i="7"/>
  <c r="E39" i="15" s="1"/>
  <c r="C4" i="8"/>
  <c r="E32" i="15" s="1"/>
  <c r="C4" i="9"/>
  <c r="E36" i="15" s="1"/>
  <c r="C4" i="10"/>
  <c r="E38" i="15" s="1"/>
  <c r="C4" i="4"/>
  <c r="E34" i="15" s="1"/>
  <c r="C4" i="5"/>
  <c r="D4" i="5" s="1"/>
  <c r="C4" i="2"/>
  <c r="C4" i="6"/>
  <c r="F4" i="6" s="1"/>
  <c r="H30" i="15" s="1"/>
  <c r="G6" i="2"/>
  <c r="I69" i="15" s="1"/>
  <c r="F69" i="15"/>
  <c r="L189" i="1"/>
  <c r="J17" i="6" s="1"/>
  <c r="L264" i="15" s="1"/>
  <c r="C6" i="17"/>
  <c r="C6" i="7"/>
  <c r="E75" i="15" s="1"/>
  <c r="D69" i="15"/>
  <c r="N28" i="1"/>
  <c r="N30" i="1" s="1"/>
  <c r="K4" i="19" s="1"/>
  <c r="M42" i="15" s="1"/>
  <c r="C6" i="8"/>
  <c r="E68" i="15" s="1"/>
  <c r="C7" i="4"/>
  <c r="C7" i="2"/>
  <c r="D7" i="2" s="1"/>
  <c r="F87" i="15" s="1"/>
  <c r="C7" i="5"/>
  <c r="C7" i="10"/>
  <c r="C6" i="9"/>
  <c r="D6" i="9" s="1"/>
  <c r="G6" i="9" s="1"/>
  <c r="I72" i="15" s="1"/>
  <c r="L67" i="1"/>
  <c r="J14" i="2" s="1"/>
  <c r="L213" i="15" s="1"/>
  <c r="L162" i="1"/>
  <c r="J13" i="9" s="1"/>
  <c r="L198" i="15" s="1"/>
  <c r="D6" i="10"/>
  <c r="L181" i="1"/>
  <c r="J15" i="6" s="1"/>
  <c r="L170" i="1"/>
  <c r="J14" i="9" s="1"/>
  <c r="L14" i="9" s="1"/>
  <c r="F138" i="15"/>
  <c r="G10" i="6"/>
  <c r="I138" i="15" s="1"/>
  <c r="F264" i="15"/>
  <c r="G17" i="6"/>
  <c r="I264" i="15" s="1"/>
  <c r="L66" i="15"/>
  <c r="L6" i="6"/>
  <c r="F66" i="15"/>
  <c r="G6" i="6"/>
  <c r="I66" i="15" s="1"/>
  <c r="C13" i="2"/>
  <c r="C13" i="5"/>
  <c r="C11" i="9"/>
  <c r="E162" i="15" s="1"/>
  <c r="E11" i="15" s="1"/>
  <c r="E49" i="14" s="1"/>
  <c r="C11" i="7"/>
  <c r="E165" i="15" s="1"/>
  <c r="C11" i="8"/>
  <c r="E158" i="15" s="1"/>
  <c r="F198" i="15"/>
  <c r="G13" i="9"/>
  <c r="I198" i="15" s="1"/>
  <c r="B9" i="13"/>
  <c r="B9" i="11"/>
  <c r="N33" i="1"/>
  <c r="N36" i="1" s="1"/>
  <c r="K5" i="19" s="1"/>
  <c r="M60" i="15" s="1"/>
  <c r="L36" i="1"/>
  <c r="J5" i="19" s="1"/>
  <c r="L60" i="15" s="1"/>
  <c r="J5" i="16"/>
  <c r="J5" i="11"/>
  <c r="N234" i="1"/>
  <c r="J5" i="13"/>
  <c r="L113" i="15"/>
  <c r="L135" i="1"/>
  <c r="L136" i="1" s="1"/>
  <c r="J12" i="8" s="1"/>
  <c r="L176" i="15" s="1"/>
  <c r="N127" i="1"/>
  <c r="N135" i="1" s="1"/>
  <c r="O12" i="8" s="1"/>
  <c r="N230" i="1"/>
  <c r="O230" i="1"/>
  <c r="G4" i="12"/>
  <c r="F29" i="15"/>
  <c r="I70" i="15"/>
  <c r="D6" i="4"/>
  <c r="F70" i="15" s="1"/>
  <c r="J6" i="12"/>
  <c r="L29" i="15"/>
  <c r="N4" i="12"/>
  <c r="P29" i="15" s="1"/>
  <c r="L4" i="12"/>
  <c r="H217" i="1"/>
  <c r="J9" i="12" s="1"/>
  <c r="N246" i="1"/>
  <c r="N249" i="1" s="1"/>
  <c r="L249" i="1"/>
  <c r="N229" i="1"/>
  <c r="O229" i="1"/>
  <c r="D199" i="15"/>
  <c r="D13" i="16"/>
  <c r="D5" i="12"/>
  <c r="H47" i="15"/>
  <c r="H5" i="15" s="1"/>
  <c r="H43" i="14" s="1"/>
  <c r="D47" i="15"/>
  <c r="D228" i="15"/>
  <c r="D15" i="6"/>
  <c r="D8" i="16"/>
  <c r="D109" i="15"/>
  <c r="B10" i="13"/>
  <c r="B10" i="11"/>
  <c r="D127" i="15"/>
  <c r="D9" i="16"/>
  <c r="G12" i="7"/>
  <c r="I183" i="15" s="1"/>
  <c r="F183" i="15"/>
  <c r="N55" i="1"/>
  <c r="N58" i="1" s="1"/>
  <c r="K12" i="19" s="1"/>
  <c r="M186" i="15" s="1"/>
  <c r="L58" i="1"/>
  <c r="J12" i="19" s="1"/>
  <c r="L186" i="15" s="1"/>
  <c r="L241" i="1"/>
  <c r="N238" i="1"/>
  <c r="N241" i="1" s="1"/>
  <c r="N13" i="2"/>
  <c r="P195" i="15" s="1"/>
  <c r="N12" i="2"/>
  <c r="P177" i="15" s="1"/>
  <c r="N228" i="1"/>
  <c r="O228" i="1"/>
  <c r="O10" i="4"/>
  <c r="L142" i="15"/>
  <c r="B6" i="11"/>
  <c r="B6" i="16"/>
  <c r="B6" i="13"/>
  <c r="D65" i="15"/>
  <c r="G6" i="12"/>
  <c r="I194" i="15"/>
  <c r="D13" i="8"/>
  <c r="F194" i="15" s="1"/>
  <c r="N49" i="1"/>
  <c r="N52" i="1" s="1"/>
  <c r="K11" i="19" s="1"/>
  <c r="M168" i="15" s="1"/>
  <c r="L52" i="1"/>
  <c r="J11" i="19" s="1"/>
  <c r="L168" i="15" s="1"/>
  <c r="L36" i="15"/>
  <c r="N252" i="1"/>
  <c r="J8" i="16"/>
  <c r="J8" i="11"/>
  <c r="J8" i="13"/>
  <c r="N79" i="1"/>
  <c r="N81" i="1" s="1"/>
  <c r="K17" i="2" s="1"/>
  <c r="L81" i="1"/>
  <c r="J17" i="2" s="1"/>
  <c r="D211" i="15"/>
  <c r="D223" i="15" s="1"/>
  <c r="D14" i="13"/>
  <c r="C6" i="16"/>
  <c r="E73" i="15" s="1"/>
  <c r="C6" i="11"/>
  <c r="E64" i="15" s="1"/>
  <c r="C6" i="13"/>
  <c r="E67" i="15" s="1"/>
  <c r="E79" i="15" s="1"/>
  <c r="G7" i="12"/>
  <c r="D83" i="15"/>
  <c r="D175" i="15"/>
  <c r="D12" i="8"/>
  <c r="F176" i="15" s="1"/>
  <c r="I176" i="15"/>
  <c r="D236" i="15"/>
  <c r="D15" i="10"/>
  <c r="D103" i="15"/>
  <c r="D115" i="15" s="1"/>
  <c r="D8" i="13"/>
  <c r="L30" i="15"/>
  <c r="G14" i="9"/>
  <c r="I216" i="15" s="1"/>
  <c r="F216" i="15"/>
  <c r="G8" i="18"/>
  <c r="I113" i="15" s="1"/>
  <c r="F113" i="15"/>
  <c r="B7" i="13"/>
  <c r="B7" i="16"/>
  <c r="B7" i="11"/>
  <c r="I142" i="15"/>
  <c r="D10" i="4"/>
  <c r="F142" i="15" s="1"/>
  <c r="D46" i="15"/>
  <c r="D5" i="11"/>
  <c r="N226" i="1"/>
  <c r="O226" i="1"/>
  <c r="L231" i="1"/>
  <c r="N258" i="1"/>
  <c r="N261" i="1" s="1"/>
  <c r="L261" i="1"/>
  <c r="J14" i="11"/>
  <c r="L8" i="9"/>
  <c r="J14" i="13"/>
  <c r="L108" i="15"/>
  <c r="J13" i="16"/>
  <c r="L138" i="15"/>
  <c r="L10" i="6"/>
  <c r="N73" i="1"/>
  <c r="O15" i="2" s="1"/>
  <c r="L112" i="15"/>
  <c r="F231" i="1"/>
  <c r="D163" i="15"/>
  <c r="B10" i="7"/>
  <c r="B10" i="8"/>
  <c r="B10" i="9"/>
  <c r="B12" i="2"/>
  <c r="B12" i="5"/>
  <c r="L84" i="15"/>
  <c r="I124" i="15"/>
  <c r="D9" i="4"/>
  <c r="F124" i="15" s="1"/>
  <c r="D49" i="15"/>
  <c r="D5" i="13"/>
  <c r="B10" i="16"/>
  <c r="B11" i="13"/>
  <c r="B11" i="11"/>
  <c r="B5" i="17"/>
  <c r="B5" i="7"/>
  <c r="B5" i="18"/>
  <c r="B5" i="4"/>
  <c r="B5" i="2"/>
  <c r="B5" i="9"/>
  <c r="B5" i="6"/>
  <c r="B5" i="8"/>
  <c r="B5" i="10"/>
  <c r="B5" i="5"/>
  <c r="N272" i="1"/>
  <c r="N275" i="1" s="1"/>
  <c r="L275" i="1"/>
  <c r="L104" i="15"/>
  <c r="O8" i="8"/>
  <c r="N289" i="1"/>
  <c r="N293" i="1" s="1"/>
  <c r="L293" i="1"/>
  <c r="J9" i="16" s="1"/>
  <c r="N40" i="1"/>
  <c r="N42" i="1" s="1"/>
  <c r="K6" i="19" s="1"/>
  <c r="F112" i="15"/>
  <c r="G8" i="17"/>
  <c r="I112" i="15" s="1"/>
  <c r="E231" i="1"/>
  <c r="D267" i="15"/>
  <c r="B17" i="4"/>
  <c r="D17" i="2"/>
  <c r="C10" i="8"/>
  <c r="E140" i="15" s="1"/>
  <c r="C10" i="9"/>
  <c r="E144" i="15" s="1"/>
  <c r="E10" i="15" s="1"/>
  <c r="E48" i="14" s="1"/>
  <c r="C12" i="2"/>
  <c r="C12" i="5"/>
  <c r="C10" i="7"/>
  <c r="E147" i="15" s="1"/>
  <c r="D8" i="11"/>
  <c r="D100" i="15"/>
  <c r="G8" i="7"/>
  <c r="I111" i="15" s="1"/>
  <c r="D8" i="8"/>
  <c r="F104" i="15" s="1"/>
  <c r="I104" i="15"/>
  <c r="G8" i="9"/>
  <c r="I108" i="15" s="1"/>
  <c r="F108" i="15"/>
  <c r="B4" i="16"/>
  <c r="B4" i="11"/>
  <c r="B4" i="13"/>
  <c r="B11" i="8"/>
  <c r="B11" i="9"/>
  <c r="B13" i="2"/>
  <c r="B13" i="5"/>
  <c r="B11" i="7"/>
  <c r="D5" i="16"/>
  <c r="D55" i="15"/>
  <c r="N265" i="1"/>
  <c r="N267" i="1" s="1"/>
  <c r="L267" i="1"/>
  <c r="L144" i="1"/>
  <c r="L145" i="1" s="1"/>
  <c r="J13" i="8" s="1"/>
  <c r="L194" i="15" s="1"/>
  <c r="N140" i="1"/>
  <c r="N144" i="1" s="1"/>
  <c r="O13" i="8" s="1"/>
  <c r="N108" i="1"/>
  <c r="N116" i="1" s="1"/>
  <c r="L12" i="7" s="1"/>
  <c r="L116" i="1"/>
  <c r="L117" i="1" s="1"/>
  <c r="J12" i="7" s="1"/>
  <c r="L183" i="15" s="1"/>
  <c r="O227" i="1"/>
  <c r="N227" i="1"/>
  <c r="D9" i="12"/>
  <c r="F119" i="15" s="1"/>
  <c r="D119" i="15"/>
  <c r="G9" i="12"/>
  <c r="C17" i="4"/>
  <c r="E268" i="15" s="1"/>
  <c r="E267" i="15"/>
  <c r="E277" i="15" s="1"/>
  <c r="L8" i="7" l="1"/>
  <c r="G14" i="4"/>
  <c r="P205" i="15"/>
  <c r="P13" i="15" s="1"/>
  <c r="P51" i="14" s="1"/>
  <c r="P277" i="15"/>
  <c r="P17" i="15" s="1"/>
  <c r="P55" i="14" s="1"/>
  <c r="D277" i="15"/>
  <c r="P187" i="15"/>
  <c r="P12" i="15" s="1"/>
  <c r="P50" i="14" s="1"/>
  <c r="G14" i="2"/>
  <c r="I213" i="15" s="1"/>
  <c r="D241" i="15"/>
  <c r="D15" i="15" s="1"/>
  <c r="D53" i="14" s="1"/>
  <c r="F71" i="15"/>
  <c r="L6" i="19"/>
  <c r="M78" i="15"/>
  <c r="G12" i="19"/>
  <c r="I186" i="15" s="1"/>
  <c r="F186" i="15"/>
  <c r="D6" i="19"/>
  <c r="E78" i="15"/>
  <c r="G11" i="19"/>
  <c r="I168" i="15" s="1"/>
  <c r="F168" i="15"/>
  <c r="O9" i="19"/>
  <c r="Q132" i="15" s="1"/>
  <c r="N132" i="15"/>
  <c r="D14" i="19"/>
  <c r="D222" i="15"/>
  <c r="L17" i="19"/>
  <c r="N276" i="15" s="1"/>
  <c r="L276" i="15"/>
  <c r="G5" i="19"/>
  <c r="I60" i="15" s="1"/>
  <c r="F60" i="15"/>
  <c r="G4" i="19"/>
  <c r="F42" i="15"/>
  <c r="O8" i="19"/>
  <c r="Q114" i="15" s="1"/>
  <c r="N114" i="15"/>
  <c r="D6" i="18"/>
  <c r="G6" i="18" s="1"/>
  <c r="I77" i="15" s="1"/>
  <c r="L5" i="19"/>
  <c r="L11" i="19"/>
  <c r="D15" i="5"/>
  <c r="F233" i="15" s="1"/>
  <c r="L12" i="19"/>
  <c r="J15" i="5"/>
  <c r="L233" i="15" s="1"/>
  <c r="J14" i="19"/>
  <c r="L4" i="19"/>
  <c r="E35" i="15"/>
  <c r="F4" i="5"/>
  <c r="H35" i="15" s="1"/>
  <c r="F72" i="15"/>
  <c r="E72" i="15"/>
  <c r="I232" i="15"/>
  <c r="D4" i="18"/>
  <c r="F41" i="15" s="1"/>
  <c r="N203" i="15"/>
  <c r="L180" i="15"/>
  <c r="L12" i="9"/>
  <c r="E17" i="15"/>
  <c r="E55" i="14" s="1"/>
  <c r="J12" i="13"/>
  <c r="L175" i="15" s="1"/>
  <c r="J11" i="16"/>
  <c r="L163" i="15" s="1"/>
  <c r="L35" i="15"/>
  <c r="L40" i="15"/>
  <c r="D7" i="6"/>
  <c r="G7" i="6" s="1"/>
  <c r="I84" i="15" s="1"/>
  <c r="G10" i="2"/>
  <c r="I141" i="15" s="1"/>
  <c r="L41" i="15"/>
  <c r="L13" i="9"/>
  <c r="O13" i="9" s="1"/>
  <c r="Q198" i="15" s="1"/>
  <c r="J11" i="18"/>
  <c r="L11" i="18" s="1"/>
  <c r="L17" i="6"/>
  <c r="N264" i="15" s="1"/>
  <c r="D4" i="9"/>
  <c r="F36" i="15" s="1"/>
  <c r="L141" i="15"/>
  <c r="D14" i="11"/>
  <c r="F208" i="15" s="1"/>
  <c r="D8" i="15"/>
  <c r="D46" i="14" s="1"/>
  <c r="F7" i="2"/>
  <c r="H87" i="15" s="1"/>
  <c r="E6" i="15"/>
  <c r="E44" i="14" s="1"/>
  <c r="C12" i="11"/>
  <c r="E172" i="15" s="1"/>
  <c r="D11" i="18"/>
  <c r="F167" i="15" s="1"/>
  <c r="C11" i="16"/>
  <c r="E163" i="15" s="1"/>
  <c r="D14" i="15"/>
  <c r="D52" i="14" s="1"/>
  <c r="L72" i="15"/>
  <c r="L216" i="15"/>
  <c r="E87" i="15"/>
  <c r="E97" i="15" s="1"/>
  <c r="J12" i="11"/>
  <c r="L172" i="15" s="1"/>
  <c r="G4" i="4"/>
  <c r="I34" i="15" s="1"/>
  <c r="D6" i="7"/>
  <c r="F75" i="15" s="1"/>
  <c r="N123" i="15"/>
  <c r="O9" i="2"/>
  <c r="Q123" i="15" s="1"/>
  <c r="L39" i="15"/>
  <c r="O9" i="5"/>
  <c r="Q125" i="15" s="1"/>
  <c r="N125" i="15"/>
  <c r="N120" i="15"/>
  <c r="O9" i="6"/>
  <c r="Q120" i="15" s="1"/>
  <c r="O9" i="10"/>
  <c r="Q128" i="15" s="1"/>
  <c r="N128" i="15"/>
  <c r="J9" i="4"/>
  <c r="J7" i="4"/>
  <c r="L88" i="15" s="1"/>
  <c r="J6" i="4"/>
  <c r="G4" i="8"/>
  <c r="D4" i="10"/>
  <c r="F38" i="15" s="1"/>
  <c r="Q203" i="15"/>
  <c r="G12" i="9"/>
  <c r="I180" i="15" s="1"/>
  <c r="L10" i="5"/>
  <c r="N143" i="15" s="1"/>
  <c r="L10" i="10"/>
  <c r="N146" i="15" s="1"/>
  <c r="L143" i="15"/>
  <c r="F143" i="15"/>
  <c r="G10" i="5"/>
  <c r="I143" i="15" s="1"/>
  <c r="J18" i="5"/>
  <c r="J7" i="10"/>
  <c r="L92" i="15" s="1"/>
  <c r="D10" i="10"/>
  <c r="D146" i="15"/>
  <c r="D4" i="17"/>
  <c r="D287" i="15"/>
  <c r="D18" i="15" s="1"/>
  <c r="D56" i="14" s="1"/>
  <c r="D18" i="5"/>
  <c r="L14" i="2"/>
  <c r="O14" i="2" s="1"/>
  <c r="Q213" i="15" s="1"/>
  <c r="J15" i="10"/>
  <c r="L236" i="15" s="1"/>
  <c r="E76" i="15"/>
  <c r="D6" i="17"/>
  <c r="D4" i="7"/>
  <c r="G6" i="8"/>
  <c r="E30" i="15"/>
  <c r="D4" i="6"/>
  <c r="E33" i="15"/>
  <c r="D4" i="2"/>
  <c r="F33" i="15" s="1"/>
  <c r="F77" i="15"/>
  <c r="E92" i="15"/>
  <c r="D7" i="10"/>
  <c r="C12" i="13"/>
  <c r="E175" i="15" s="1"/>
  <c r="E89" i="15"/>
  <c r="D7" i="5"/>
  <c r="E88" i="15"/>
  <c r="G7" i="4"/>
  <c r="J14" i="4"/>
  <c r="L214" i="15" s="1"/>
  <c r="F74" i="15"/>
  <c r="G6" i="10"/>
  <c r="I74" i="15" s="1"/>
  <c r="D195" i="15"/>
  <c r="B13" i="4"/>
  <c r="D13" i="2"/>
  <c r="N112" i="15"/>
  <c r="O8" i="17"/>
  <c r="Q112" i="15" s="1"/>
  <c r="D28" i="15"/>
  <c r="D268" i="15"/>
  <c r="D17" i="15" s="1"/>
  <c r="D55" i="14" s="1"/>
  <c r="G17" i="4"/>
  <c r="D177" i="15"/>
  <c r="D12" i="2"/>
  <c r="B12" i="4"/>
  <c r="D82" i="15"/>
  <c r="D7" i="11"/>
  <c r="N183" i="15"/>
  <c r="O12" i="7"/>
  <c r="Q183" i="15" s="1"/>
  <c r="J10" i="13"/>
  <c r="J10" i="11"/>
  <c r="D165" i="15"/>
  <c r="D11" i="7"/>
  <c r="L127" i="15"/>
  <c r="L9" i="16"/>
  <c r="D56" i="15"/>
  <c r="D5" i="10"/>
  <c r="D58" i="15"/>
  <c r="D5" i="17"/>
  <c r="D140" i="15"/>
  <c r="G10" i="8"/>
  <c r="L211" i="15"/>
  <c r="L14" i="13"/>
  <c r="D7" i="13"/>
  <c r="D85" i="15"/>
  <c r="D97" i="15" s="1"/>
  <c r="N216" i="15"/>
  <c r="O14" i="9"/>
  <c r="Q216" i="15" s="1"/>
  <c r="K10" i="8"/>
  <c r="M140" i="15" s="1"/>
  <c r="K10" i="9"/>
  <c r="M144" i="15" s="1"/>
  <c r="K10" i="7"/>
  <c r="M147" i="15" s="1"/>
  <c r="K12" i="2"/>
  <c r="K12" i="5"/>
  <c r="J6" i="13"/>
  <c r="J6" i="11"/>
  <c r="J6" i="16"/>
  <c r="N113" i="15"/>
  <c r="O8" i="18"/>
  <c r="Q113" i="15" s="1"/>
  <c r="J5" i="2"/>
  <c r="J5" i="4"/>
  <c r="J5" i="18"/>
  <c r="J5" i="7"/>
  <c r="J5" i="9"/>
  <c r="J5" i="6"/>
  <c r="J5" i="17"/>
  <c r="J5" i="10"/>
  <c r="J5" i="8"/>
  <c r="J5" i="5"/>
  <c r="O6" i="6"/>
  <c r="Q66" i="15" s="1"/>
  <c r="N66" i="15"/>
  <c r="E177" i="15"/>
  <c r="C12" i="4"/>
  <c r="E178" i="15" s="1"/>
  <c r="K7" i="2"/>
  <c r="K7" i="4"/>
  <c r="K7" i="6"/>
  <c r="K6" i="17"/>
  <c r="K7" i="10"/>
  <c r="K6" i="8"/>
  <c r="K6" i="7"/>
  <c r="K6" i="9"/>
  <c r="K6" i="18"/>
  <c r="K7" i="5"/>
  <c r="D48" i="15"/>
  <c r="D5" i="6"/>
  <c r="L208" i="15"/>
  <c r="L14" i="11"/>
  <c r="D5" i="18"/>
  <c r="D59" i="15"/>
  <c r="L199" i="15"/>
  <c r="L13" i="16"/>
  <c r="F46" i="15"/>
  <c r="G5" i="11"/>
  <c r="I46" i="15" s="1"/>
  <c r="D197" i="15"/>
  <c r="B11" i="17"/>
  <c r="D166" i="15" s="1"/>
  <c r="D13" i="5"/>
  <c r="B13" i="6"/>
  <c r="B13" i="10"/>
  <c r="C12" i="6"/>
  <c r="E174" i="15" s="1"/>
  <c r="C12" i="10"/>
  <c r="E182" i="15" s="1"/>
  <c r="E179" i="15"/>
  <c r="C10" i="17"/>
  <c r="E148" i="15" s="1"/>
  <c r="F35" i="15"/>
  <c r="G5" i="8"/>
  <c r="D50" i="15"/>
  <c r="D154" i="15"/>
  <c r="D11" i="11"/>
  <c r="D10" i="7"/>
  <c r="D147" i="15"/>
  <c r="N108" i="15"/>
  <c r="O8" i="9"/>
  <c r="Q108" i="15" s="1"/>
  <c r="J9" i="13"/>
  <c r="J9" i="11"/>
  <c r="G15" i="10"/>
  <c r="I236" i="15" s="1"/>
  <c r="F236" i="15"/>
  <c r="I83" i="15"/>
  <c r="D7" i="12"/>
  <c r="F83" i="15" s="1"/>
  <c r="L267" i="15"/>
  <c r="L277" i="15" s="1"/>
  <c r="L17" i="2"/>
  <c r="J17" i="4"/>
  <c r="I65" i="15"/>
  <c r="D6" i="12"/>
  <c r="F65" i="15" s="1"/>
  <c r="L10" i="4"/>
  <c r="N142" i="15" s="1"/>
  <c r="Q142" i="15"/>
  <c r="F109" i="15"/>
  <c r="G8" i="16"/>
  <c r="I109" i="15" s="1"/>
  <c r="L119" i="15"/>
  <c r="O9" i="12"/>
  <c r="K5" i="2"/>
  <c r="M51" i="15" s="1"/>
  <c r="K5" i="6"/>
  <c r="M48" i="15" s="1"/>
  <c r="K5" i="8"/>
  <c r="M50" i="15" s="1"/>
  <c r="K5" i="18"/>
  <c r="M59" i="15" s="1"/>
  <c r="K5" i="9"/>
  <c r="M54" i="15" s="1"/>
  <c r="K5" i="7"/>
  <c r="M57" i="15" s="1"/>
  <c r="K5" i="5"/>
  <c r="M53" i="15" s="1"/>
  <c r="K5" i="4"/>
  <c r="M52" i="15" s="1"/>
  <c r="K5" i="10"/>
  <c r="M56" i="15" s="1"/>
  <c r="K5" i="17"/>
  <c r="M58" i="15" s="1"/>
  <c r="L69" i="15"/>
  <c r="L6" i="2"/>
  <c r="L8" i="8"/>
  <c r="N104" i="15" s="1"/>
  <c r="Q104" i="15"/>
  <c r="D11" i="13"/>
  <c r="D157" i="15"/>
  <c r="D169" i="15" s="1"/>
  <c r="K17" i="4"/>
  <c r="M268" i="15" s="1"/>
  <c r="M267" i="15"/>
  <c r="M277" i="15" s="1"/>
  <c r="G15" i="6"/>
  <c r="I228" i="15" s="1"/>
  <c r="F228" i="15"/>
  <c r="F47" i="15"/>
  <c r="G5" i="12"/>
  <c r="I47" i="15" s="1"/>
  <c r="O4" i="12"/>
  <c r="N29" i="15"/>
  <c r="D14" i="4"/>
  <c r="F214" i="15" s="1"/>
  <c r="I214" i="15"/>
  <c r="L49" i="15"/>
  <c r="L5" i="13"/>
  <c r="J4" i="13"/>
  <c r="J4" i="16"/>
  <c r="J4" i="11"/>
  <c r="L103" i="15"/>
  <c r="L115" i="15" s="1"/>
  <c r="L8" i="13"/>
  <c r="D67" i="15"/>
  <c r="D79" i="15" s="1"/>
  <c r="D6" i="13"/>
  <c r="G13" i="16"/>
  <c r="I199" i="15" s="1"/>
  <c r="F199" i="15"/>
  <c r="J7" i="16"/>
  <c r="J7" i="13"/>
  <c r="J7" i="11"/>
  <c r="L47" i="15"/>
  <c r="N5" i="12"/>
  <c r="P47" i="15" s="1"/>
  <c r="P5" i="15" s="1"/>
  <c r="P43" i="14" s="1"/>
  <c r="L5" i="12"/>
  <c r="I29" i="15"/>
  <c r="I119" i="15"/>
  <c r="G10" i="12"/>
  <c r="G5" i="16"/>
  <c r="I55" i="15" s="1"/>
  <c r="F55" i="15"/>
  <c r="D162" i="15"/>
  <c r="D11" i="9"/>
  <c r="D54" i="15"/>
  <c r="D5" i="9"/>
  <c r="F49" i="15"/>
  <c r="G5" i="13"/>
  <c r="I49" i="15" s="1"/>
  <c r="Q231" i="15"/>
  <c r="O15" i="4"/>
  <c r="G11" i="8"/>
  <c r="D158" i="15"/>
  <c r="J10" i="16"/>
  <c r="J11" i="11"/>
  <c r="J11" i="13"/>
  <c r="D51" i="15"/>
  <c r="D5" i="2"/>
  <c r="C4" i="11"/>
  <c r="E28" i="15" s="1"/>
  <c r="C4" i="16"/>
  <c r="E37" i="15" s="1"/>
  <c r="C4" i="13"/>
  <c r="E31" i="15" s="1"/>
  <c r="N138" i="15"/>
  <c r="O10" i="6"/>
  <c r="Q138" i="15" s="1"/>
  <c r="O231" i="1"/>
  <c r="L100" i="15"/>
  <c r="L8" i="11"/>
  <c r="D73" i="15"/>
  <c r="D6" i="16"/>
  <c r="F127" i="15"/>
  <c r="G9" i="16"/>
  <c r="I127" i="15" s="1"/>
  <c r="L46" i="15"/>
  <c r="L5" i="11"/>
  <c r="K4" i="6"/>
  <c r="N4" i="6" s="1"/>
  <c r="P30" i="15" s="1"/>
  <c r="K4" i="8"/>
  <c r="K4" i="9"/>
  <c r="K4" i="4"/>
  <c r="K4" i="2"/>
  <c r="K4" i="18"/>
  <c r="K4" i="17"/>
  <c r="K4" i="10"/>
  <c r="K4" i="7"/>
  <c r="K4" i="5"/>
  <c r="N4" i="5" s="1"/>
  <c r="N4" i="10" s="1"/>
  <c r="P38" i="15" s="1"/>
  <c r="C13" i="10"/>
  <c r="E200" i="15" s="1"/>
  <c r="C11" i="17"/>
  <c r="E166" i="15" s="1"/>
  <c r="E197" i="15"/>
  <c r="C13" i="6"/>
  <c r="E192" i="15" s="1"/>
  <c r="L13" i="8"/>
  <c r="N194" i="15" s="1"/>
  <c r="Q194" i="15"/>
  <c r="D145" i="15"/>
  <c r="D10" i="16"/>
  <c r="N111" i="15"/>
  <c r="O8" i="7"/>
  <c r="Q111" i="15" s="1"/>
  <c r="L228" i="15"/>
  <c r="L15" i="6"/>
  <c r="J6" i="10"/>
  <c r="L6" i="5"/>
  <c r="L71" i="15"/>
  <c r="D31" i="15"/>
  <c r="D43" i="15" s="1"/>
  <c r="F267" i="15"/>
  <c r="F277" i="15" s="1"/>
  <c r="G17" i="2"/>
  <c r="I267" i="15" s="1"/>
  <c r="I277" i="15" s="1"/>
  <c r="D52" i="15"/>
  <c r="G5" i="4"/>
  <c r="B10" i="17"/>
  <c r="D148" i="15" s="1"/>
  <c r="D179" i="15"/>
  <c r="D12" i="5"/>
  <c r="B12" i="10"/>
  <c r="B12" i="6"/>
  <c r="N231" i="1"/>
  <c r="F211" i="15"/>
  <c r="F223" i="15" s="1"/>
  <c r="G14" i="13"/>
  <c r="I211" i="15" s="1"/>
  <c r="L109" i="15"/>
  <c r="L8" i="16"/>
  <c r="D64" i="15"/>
  <c r="D6" i="11"/>
  <c r="L5" i="16"/>
  <c r="L55" i="15"/>
  <c r="D9" i="11"/>
  <c r="D118" i="15"/>
  <c r="E195" i="15"/>
  <c r="C13" i="4"/>
  <c r="E196" i="15" s="1"/>
  <c r="J11" i="7"/>
  <c r="J11" i="9"/>
  <c r="J13" i="5"/>
  <c r="J11" i="8"/>
  <c r="J13" i="2"/>
  <c r="D136" i="15"/>
  <c r="D10" i="11"/>
  <c r="L6" i="12"/>
  <c r="N65" i="15" s="1"/>
  <c r="L65" i="15"/>
  <c r="O6" i="12"/>
  <c r="Q65" i="15" s="1"/>
  <c r="Q176" i="15"/>
  <c r="L12" i="8"/>
  <c r="N176" i="15" s="1"/>
  <c r="D9" i="13"/>
  <c r="D121" i="15"/>
  <c r="D133" i="15" s="1"/>
  <c r="D37" i="15"/>
  <c r="F100" i="15"/>
  <c r="G8" i="11"/>
  <c r="I100" i="15" s="1"/>
  <c r="D53" i="15"/>
  <c r="D5" i="5"/>
  <c r="D57" i="15"/>
  <c r="D5" i="7"/>
  <c r="D144" i="15"/>
  <c r="D10" i="9"/>
  <c r="O10" i="2"/>
  <c r="Q141" i="15" s="1"/>
  <c r="N141" i="15"/>
  <c r="D91" i="15"/>
  <c r="D7" i="16"/>
  <c r="F103" i="15"/>
  <c r="F115" i="15" s="1"/>
  <c r="G8" i="13"/>
  <c r="I103" i="15" s="1"/>
  <c r="I115" i="15" s="1"/>
  <c r="J10" i="7"/>
  <c r="J10" i="9"/>
  <c r="J12" i="2"/>
  <c r="J12" i="5"/>
  <c r="J10" i="8"/>
  <c r="K6" i="11"/>
  <c r="M64" i="15" s="1"/>
  <c r="K6" i="13"/>
  <c r="M67" i="15" s="1"/>
  <c r="M79" i="15" s="1"/>
  <c r="K6" i="16"/>
  <c r="M73" i="15" s="1"/>
  <c r="K11" i="9"/>
  <c r="M162" i="15" s="1"/>
  <c r="M11" i="15" s="1"/>
  <c r="M49" i="14" s="1"/>
  <c r="K13" i="5"/>
  <c r="K11" i="8"/>
  <c r="M158" i="15" s="1"/>
  <c r="K11" i="7"/>
  <c r="M165" i="15" s="1"/>
  <c r="K13" i="2"/>
  <c r="D139" i="15"/>
  <c r="D151" i="15" s="1"/>
  <c r="D10" i="13"/>
  <c r="O7" i="12"/>
  <c r="Q83" i="15" s="1"/>
  <c r="L7" i="12"/>
  <c r="N83" i="15" s="1"/>
  <c r="L83" i="15"/>
  <c r="L223" i="15" l="1"/>
  <c r="L14" i="15" s="1"/>
  <c r="L52" i="14" s="1"/>
  <c r="E205" i="15"/>
  <c r="D61" i="15"/>
  <c r="H97" i="15"/>
  <c r="H7" i="15" s="1"/>
  <c r="H45" i="14" s="1"/>
  <c r="M61" i="15"/>
  <c r="M5" i="15" s="1"/>
  <c r="M43" i="14" s="1"/>
  <c r="L8" i="15"/>
  <c r="L46" i="14" s="1"/>
  <c r="D6" i="15"/>
  <c r="D44" i="14" s="1"/>
  <c r="E187" i="15"/>
  <c r="E12" i="15" s="1"/>
  <c r="E50" i="14" s="1"/>
  <c r="N198" i="15"/>
  <c r="E43" i="15"/>
  <c r="E4" i="15" s="1"/>
  <c r="E42" i="14" s="1"/>
  <c r="O17" i="19"/>
  <c r="Q276" i="15" s="1"/>
  <c r="F241" i="15"/>
  <c r="F15" i="15" s="1"/>
  <c r="F53" i="14" s="1"/>
  <c r="L241" i="15"/>
  <c r="L15" i="15" s="1"/>
  <c r="L53" i="14" s="1"/>
  <c r="F4" i="10"/>
  <c r="H38" i="15" s="1"/>
  <c r="G4" i="18"/>
  <c r="I41" i="15" s="1"/>
  <c r="O11" i="19"/>
  <c r="Q168" i="15" s="1"/>
  <c r="N168" i="15"/>
  <c r="O4" i="19"/>
  <c r="N42" i="15"/>
  <c r="O5" i="19"/>
  <c r="Q60" i="15" s="1"/>
  <c r="N60" i="15"/>
  <c r="G6" i="19"/>
  <c r="I78" i="15" s="1"/>
  <c r="F78" i="15"/>
  <c r="F84" i="15"/>
  <c r="L14" i="19"/>
  <c r="L222" i="15"/>
  <c r="G14" i="19"/>
  <c r="F222" i="15"/>
  <c r="O12" i="19"/>
  <c r="Q186" i="15" s="1"/>
  <c r="N186" i="15"/>
  <c r="I42" i="15"/>
  <c r="O6" i="19"/>
  <c r="N78" i="15"/>
  <c r="L15" i="5"/>
  <c r="N233" i="15" s="1"/>
  <c r="G15" i="5"/>
  <c r="I233" i="15" s="1"/>
  <c r="O17" i="6"/>
  <c r="Q264" i="15" s="1"/>
  <c r="G4" i="5"/>
  <c r="I35" i="15" s="1"/>
  <c r="F4" i="2"/>
  <c r="H33" i="15" s="1"/>
  <c r="H43" i="15" s="1"/>
  <c r="H4" i="15" s="1"/>
  <c r="H42" i="14" s="1"/>
  <c r="G7" i="2"/>
  <c r="I87" i="15" s="1"/>
  <c r="L167" i="15"/>
  <c r="M10" i="15"/>
  <c r="M48" i="14" s="1"/>
  <c r="N4" i="2"/>
  <c r="P33" i="15" s="1"/>
  <c r="P43" i="15" s="1"/>
  <c r="O12" i="9"/>
  <c r="Q180" i="15" s="1"/>
  <c r="N180" i="15"/>
  <c r="G4" i="9"/>
  <c r="I36" i="15" s="1"/>
  <c r="F14" i="15"/>
  <c r="F52" i="14" s="1"/>
  <c r="E7" i="15"/>
  <c r="E45" i="14" s="1"/>
  <c r="M17" i="15"/>
  <c r="M55" i="14" s="1"/>
  <c r="O10" i="5"/>
  <c r="Q143" i="15" s="1"/>
  <c r="O14" i="4"/>
  <c r="Q214" i="15" s="1"/>
  <c r="P35" i="15"/>
  <c r="G11" i="18"/>
  <c r="I167" i="15" s="1"/>
  <c r="G11" i="4"/>
  <c r="I160" i="15" s="1"/>
  <c r="G14" i="11"/>
  <c r="I208" i="15" s="1"/>
  <c r="I223" i="15" s="1"/>
  <c r="E13" i="15"/>
  <c r="E51" i="14" s="1"/>
  <c r="D5" i="15"/>
  <c r="D43" i="14" s="1"/>
  <c r="D11" i="16"/>
  <c r="F163" i="15" s="1"/>
  <c r="D11" i="15"/>
  <c r="D49" i="14" s="1"/>
  <c r="D10" i="15"/>
  <c r="D48" i="14" s="1"/>
  <c r="D4" i="4"/>
  <c r="F34" i="15" s="1"/>
  <c r="D12" i="11"/>
  <c r="G6" i="7"/>
  <c r="I75" i="15" s="1"/>
  <c r="N213" i="15"/>
  <c r="D4" i="15"/>
  <c r="D42" i="14" s="1"/>
  <c r="D7" i="15"/>
  <c r="D45" i="14" s="1"/>
  <c r="D9" i="15"/>
  <c r="D47" i="14" s="1"/>
  <c r="F8" i="15"/>
  <c r="F46" i="14" s="1"/>
  <c r="L15" i="10"/>
  <c r="N236" i="15" s="1"/>
  <c r="O10" i="10"/>
  <c r="Q146" i="15" s="1"/>
  <c r="D4" i="8"/>
  <c r="F32" i="15" s="1"/>
  <c r="I32" i="15"/>
  <c r="L70" i="15"/>
  <c r="O6" i="4"/>
  <c r="L124" i="15"/>
  <c r="O9" i="4"/>
  <c r="D12" i="13"/>
  <c r="G4" i="17"/>
  <c r="I40" i="15" s="1"/>
  <c r="F40" i="15"/>
  <c r="G10" i="10"/>
  <c r="I146" i="15" s="1"/>
  <c r="F146" i="15"/>
  <c r="L287" i="15"/>
  <c r="L18" i="15" s="1"/>
  <c r="L56" i="14" s="1"/>
  <c r="L18" i="5"/>
  <c r="F18" i="5"/>
  <c r="F287" i="15"/>
  <c r="F18" i="15" s="1"/>
  <c r="F56" i="14" s="1"/>
  <c r="F30" i="15"/>
  <c r="G4" i="6"/>
  <c r="I30" i="15" s="1"/>
  <c r="D6" i="8"/>
  <c r="F68" i="15" s="1"/>
  <c r="I68" i="15"/>
  <c r="F39" i="15"/>
  <c r="G4" i="7"/>
  <c r="I39" i="15" s="1"/>
  <c r="F76" i="15"/>
  <c r="G6" i="17"/>
  <c r="I76" i="15" s="1"/>
  <c r="F89" i="15"/>
  <c r="G7" i="5"/>
  <c r="I89" i="15" s="1"/>
  <c r="F92" i="15"/>
  <c r="G7" i="10"/>
  <c r="I92" i="15" s="1"/>
  <c r="I88" i="15"/>
  <c r="D7" i="4"/>
  <c r="F88" i="15" s="1"/>
  <c r="D4" i="16"/>
  <c r="F37" i="15" s="1"/>
  <c r="M35" i="15"/>
  <c r="L4" i="5"/>
  <c r="F54" i="15"/>
  <c r="G5" i="9"/>
  <c r="I54" i="15" s="1"/>
  <c r="L165" i="15"/>
  <c r="L11" i="7"/>
  <c r="N71" i="15"/>
  <c r="O6" i="5"/>
  <c r="Q71" i="15" s="1"/>
  <c r="O11" i="18"/>
  <c r="N167" i="15"/>
  <c r="G10" i="9"/>
  <c r="F144" i="15"/>
  <c r="M33" i="15"/>
  <c r="L4" i="2"/>
  <c r="K13" i="4"/>
  <c r="M196" i="15" s="1"/>
  <c r="M195" i="15"/>
  <c r="L147" i="15"/>
  <c r="L10" i="7"/>
  <c r="G9" i="13"/>
  <c r="I121" i="15" s="1"/>
  <c r="F121" i="15"/>
  <c r="F133" i="15" s="1"/>
  <c r="L195" i="15"/>
  <c r="L13" i="2"/>
  <c r="J13" i="4"/>
  <c r="D174" i="15"/>
  <c r="D187" i="15" s="1"/>
  <c r="D12" i="6"/>
  <c r="M34" i="15"/>
  <c r="O4" i="4"/>
  <c r="L154" i="15"/>
  <c r="L11" i="11"/>
  <c r="N154" i="15" s="1"/>
  <c r="I137" i="15"/>
  <c r="L85" i="15"/>
  <c r="L97" i="15" s="1"/>
  <c r="L7" i="13"/>
  <c r="F67" i="15"/>
  <c r="F79" i="15" s="1"/>
  <c r="G6" i="13"/>
  <c r="I67" i="15" s="1"/>
  <c r="I79" i="15" s="1"/>
  <c r="L31" i="15"/>
  <c r="L43" i="15" s="1"/>
  <c r="O14" i="11"/>
  <c r="Q208" i="15" s="1"/>
  <c r="N208" i="15"/>
  <c r="M68" i="15"/>
  <c r="O6" i="8"/>
  <c r="L57" i="15"/>
  <c r="L5" i="7"/>
  <c r="L6" i="13"/>
  <c r="L67" i="15"/>
  <c r="L79" i="15" s="1"/>
  <c r="F145" i="15"/>
  <c r="G10" i="16"/>
  <c r="F57" i="15"/>
  <c r="G5" i="7"/>
  <c r="L158" i="15"/>
  <c r="O11" i="8"/>
  <c r="O8" i="16"/>
  <c r="Q109" i="15" s="1"/>
  <c r="N109" i="15"/>
  <c r="D182" i="15"/>
  <c r="D12" i="10"/>
  <c r="D4" i="13"/>
  <c r="M36" i="15"/>
  <c r="L4" i="9"/>
  <c r="G6" i="16"/>
  <c r="I73" i="15" s="1"/>
  <c r="F73" i="15"/>
  <c r="L145" i="15"/>
  <c r="L10" i="16"/>
  <c r="N145" i="15" s="1"/>
  <c r="L91" i="15"/>
  <c r="L7" i="16"/>
  <c r="O5" i="13"/>
  <c r="Q49" i="15" s="1"/>
  <c r="N49" i="15"/>
  <c r="O6" i="2"/>
  <c r="Q69" i="15" s="1"/>
  <c r="N69" i="15"/>
  <c r="F147" i="15"/>
  <c r="G10" i="7"/>
  <c r="D200" i="15"/>
  <c r="D13" i="10"/>
  <c r="M92" i="15"/>
  <c r="L7" i="10"/>
  <c r="L59" i="15"/>
  <c r="L5" i="18"/>
  <c r="K12" i="10"/>
  <c r="M182" i="15" s="1"/>
  <c r="M179" i="15"/>
  <c r="K12" i="6"/>
  <c r="M174" i="15" s="1"/>
  <c r="K10" i="17"/>
  <c r="M148" i="15" s="1"/>
  <c r="G5" i="17"/>
  <c r="F58" i="15"/>
  <c r="F165" i="15"/>
  <c r="G11" i="7"/>
  <c r="I165" i="15" s="1"/>
  <c r="D178" i="15"/>
  <c r="G12" i="4"/>
  <c r="M32" i="15"/>
  <c r="O4" i="8"/>
  <c r="N103" i="15"/>
  <c r="N115" i="15" s="1"/>
  <c r="O8" i="13"/>
  <c r="Q103" i="15" s="1"/>
  <c r="Q115" i="15" s="1"/>
  <c r="N199" i="15"/>
  <c r="O13" i="16"/>
  <c r="Q199" i="15" s="1"/>
  <c r="F48" i="15"/>
  <c r="G5" i="6"/>
  <c r="M76" i="15"/>
  <c r="L6" i="17"/>
  <c r="L53" i="15"/>
  <c r="L5" i="5"/>
  <c r="L52" i="15"/>
  <c r="O5" i="4"/>
  <c r="M177" i="15"/>
  <c r="K12" i="4"/>
  <c r="M178" i="15" s="1"/>
  <c r="G12" i="2"/>
  <c r="F177" i="15"/>
  <c r="M39" i="15"/>
  <c r="L4" i="7"/>
  <c r="M30" i="15"/>
  <c r="L4" i="6"/>
  <c r="N100" i="15"/>
  <c r="O8" i="11"/>
  <c r="Q100" i="15" s="1"/>
  <c r="I158" i="15"/>
  <c r="D11" i="8"/>
  <c r="F158" i="15" s="1"/>
  <c r="G8" i="12"/>
  <c r="I101" i="15" s="1"/>
  <c r="I8" i="15" s="1"/>
  <c r="I46" i="14" s="1"/>
  <c r="D11" i="17"/>
  <c r="F166" i="15" s="1"/>
  <c r="F197" i="15"/>
  <c r="G13" i="5"/>
  <c r="M84" i="15"/>
  <c r="L7" i="6"/>
  <c r="L50" i="15"/>
  <c r="O5" i="8"/>
  <c r="L51" i="15"/>
  <c r="L5" i="2"/>
  <c r="G7" i="13"/>
  <c r="I85" i="15" s="1"/>
  <c r="F85" i="15"/>
  <c r="G5" i="10"/>
  <c r="I56" i="15" s="1"/>
  <c r="F56" i="15"/>
  <c r="L10" i="11"/>
  <c r="L136" i="15"/>
  <c r="J11" i="17"/>
  <c r="L166" i="15" s="1"/>
  <c r="L197" i="15"/>
  <c r="J13" i="6"/>
  <c r="J13" i="10"/>
  <c r="L13" i="5"/>
  <c r="I50" i="15"/>
  <c r="D5" i="8"/>
  <c r="F50" i="15" s="1"/>
  <c r="G9" i="8"/>
  <c r="I122" i="15" s="1"/>
  <c r="L162" i="15"/>
  <c r="L11" i="9"/>
  <c r="M38" i="15"/>
  <c r="L4" i="10"/>
  <c r="F162" i="15"/>
  <c r="G11" i="9"/>
  <c r="I162" i="15" s="1"/>
  <c r="N47" i="15"/>
  <c r="O5" i="12"/>
  <c r="Q47" i="15" s="1"/>
  <c r="L118" i="15"/>
  <c r="L9" i="11"/>
  <c r="M89" i="15"/>
  <c r="L7" i="5"/>
  <c r="M88" i="15"/>
  <c r="O7" i="4"/>
  <c r="L56" i="15"/>
  <c r="L5" i="10"/>
  <c r="O14" i="13"/>
  <c r="Q211" i="15" s="1"/>
  <c r="Q223" i="15" s="1"/>
  <c r="N211" i="15"/>
  <c r="L139" i="15"/>
  <c r="L151" i="15" s="1"/>
  <c r="L10" i="13"/>
  <c r="I268" i="15"/>
  <c r="I17" i="15" s="1"/>
  <c r="I55" i="14" s="1"/>
  <c r="D17" i="4"/>
  <c r="F268" i="15" s="1"/>
  <c r="F17" i="15" s="1"/>
  <c r="F55" i="14" s="1"/>
  <c r="D192" i="15"/>
  <c r="D205" i="15" s="1"/>
  <c r="D13" i="6"/>
  <c r="G7" i="16"/>
  <c r="I91" i="15" s="1"/>
  <c r="F91" i="15"/>
  <c r="L140" i="15"/>
  <c r="O10" i="8"/>
  <c r="L74" i="15"/>
  <c r="L6" i="10"/>
  <c r="M40" i="15"/>
  <c r="L4" i="17"/>
  <c r="F51" i="15"/>
  <c r="G5" i="2"/>
  <c r="I51" i="15" s="1"/>
  <c r="O17" i="4"/>
  <c r="L268" i="15"/>
  <c r="L17" i="15" s="1"/>
  <c r="L55" i="14" s="1"/>
  <c r="L121" i="15"/>
  <c r="L133" i="15" s="1"/>
  <c r="L9" i="13"/>
  <c r="F59" i="15"/>
  <c r="G5" i="18"/>
  <c r="I59" i="15" s="1"/>
  <c r="M77" i="15"/>
  <c r="L6" i="18"/>
  <c r="M87" i="15"/>
  <c r="L7" i="2"/>
  <c r="N7" i="2"/>
  <c r="P87" i="15" s="1"/>
  <c r="L5" i="17"/>
  <c r="L58" i="15"/>
  <c r="G13" i="2"/>
  <c r="I195" i="15" s="1"/>
  <c r="F195" i="15"/>
  <c r="F179" i="15"/>
  <c r="D10" i="17"/>
  <c r="F148" i="15" s="1"/>
  <c r="G12" i="5"/>
  <c r="M197" i="15"/>
  <c r="K11" i="17"/>
  <c r="M166" i="15" s="1"/>
  <c r="K13" i="6"/>
  <c r="M192" i="15" s="1"/>
  <c r="M205" i="15" s="1"/>
  <c r="K13" i="10"/>
  <c r="M200" i="15" s="1"/>
  <c r="F53" i="15"/>
  <c r="G5" i="5"/>
  <c r="I53" i="15" s="1"/>
  <c r="F118" i="15"/>
  <c r="G9" i="11"/>
  <c r="I118" i="15" s="1"/>
  <c r="O5" i="11"/>
  <c r="Q46" i="15" s="1"/>
  <c r="N46" i="15"/>
  <c r="J10" i="17"/>
  <c r="L148" i="15" s="1"/>
  <c r="L179" i="15"/>
  <c r="L12" i="5"/>
  <c r="J12" i="10"/>
  <c r="J12" i="6"/>
  <c r="I52" i="15"/>
  <c r="D5" i="4"/>
  <c r="F52" i="15" s="1"/>
  <c r="K4" i="16"/>
  <c r="M37" i="15" s="1"/>
  <c r="K4" i="13"/>
  <c r="M31" i="15" s="1"/>
  <c r="K4" i="11"/>
  <c r="M28" i="15" s="1"/>
  <c r="G10" i="13"/>
  <c r="I139" i="15" s="1"/>
  <c r="I151" i="15" s="1"/>
  <c r="F139" i="15"/>
  <c r="F151" i="15" s="1"/>
  <c r="L177" i="15"/>
  <c r="L12" i="2"/>
  <c r="J12" i="4"/>
  <c r="G10" i="11"/>
  <c r="I136" i="15" s="1"/>
  <c r="F136" i="15"/>
  <c r="O5" i="16"/>
  <c r="Q55" i="15" s="1"/>
  <c r="N55" i="15"/>
  <c r="N228" i="15"/>
  <c r="N241" i="15" s="1"/>
  <c r="O15" i="6"/>
  <c r="Q228" i="15" s="1"/>
  <c r="M41" i="15"/>
  <c r="L4" i="18"/>
  <c r="Q232" i="15"/>
  <c r="L15" i="4"/>
  <c r="N232" i="15" s="1"/>
  <c r="L28" i="15"/>
  <c r="Q29" i="15"/>
  <c r="F157" i="15"/>
  <c r="F169" i="15" s="1"/>
  <c r="G11" i="13"/>
  <c r="N267" i="15"/>
  <c r="N277" i="15" s="1"/>
  <c r="O17" i="2"/>
  <c r="Q267" i="15" s="1"/>
  <c r="M72" i="15"/>
  <c r="M6" i="15" s="1"/>
  <c r="M44" i="14" s="1"/>
  <c r="K12" i="13"/>
  <c r="K11" i="16"/>
  <c r="K12" i="11"/>
  <c r="L6" i="9"/>
  <c r="L48" i="15"/>
  <c r="L5" i="6"/>
  <c r="L73" i="15"/>
  <c r="L6" i="16"/>
  <c r="D10" i="8"/>
  <c r="F140" i="15" s="1"/>
  <c r="I140" i="15"/>
  <c r="G14" i="8"/>
  <c r="D4" i="11"/>
  <c r="D196" i="15"/>
  <c r="G13" i="4"/>
  <c r="L10" i="9"/>
  <c r="L144" i="15"/>
  <c r="G6" i="11"/>
  <c r="I64" i="15" s="1"/>
  <c r="F64" i="15"/>
  <c r="L11" i="13"/>
  <c r="N157" i="15" s="1"/>
  <c r="N169" i="15" s="1"/>
  <c r="L157" i="15"/>
  <c r="L169" i="15" s="1"/>
  <c r="L7" i="11"/>
  <c r="L82" i="15"/>
  <c r="L37" i="15"/>
  <c r="Q119" i="15"/>
  <c r="L9" i="12"/>
  <c r="N119" i="15" s="1"/>
  <c r="O10" i="12"/>
  <c r="F154" i="15"/>
  <c r="G11" i="11"/>
  <c r="M75" i="15"/>
  <c r="L6" i="7"/>
  <c r="L54" i="15"/>
  <c r="L5" i="9"/>
  <c r="L64" i="15"/>
  <c r="L6" i="11"/>
  <c r="N127" i="15"/>
  <c r="O9" i="16"/>
  <c r="Q127" i="15" s="1"/>
  <c r="F82" i="15"/>
  <c r="G7" i="11"/>
  <c r="I82" i="15" s="1"/>
  <c r="O15" i="10" l="1"/>
  <c r="Q236" i="15" s="1"/>
  <c r="L61" i="15"/>
  <c r="F61" i="15"/>
  <c r="I97" i="15"/>
  <c r="N223" i="15"/>
  <c r="P4" i="15"/>
  <c r="P42" i="14" s="1"/>
  <c r="F6" i="15"/>
  <c r="F44" i="14" s="1"/>
  <c r="L7" i="15"/>
  <c r="L45" i="14" s="1"/>
  <c r="P97" i="15"/>
  <c r="P7" i="15" s="1"/>
  <c r="P45" i="14" s="1"/>
  <c r="M97" i="15"/>
  <c r="M7" i="15" s="1"/>
  <c r="M45" i="14" s="1"/>
  <c r="Q277" i="15"/>
  <c r="G4" i="10"/>
  <c r="I38" i="15" s="1"/>
  <c r="L4" i="15"/>
  <c r="L42" i="14" s="1"/>
  <c r="Q78" i="15"/>
  <c r="G10" i="19"/>
  <c r="I150" i="15" s="1"/>
  <c r="M43" i="15"/>
  <c r="M4" i="15" s="1"/>
  <c r="M42" i="14" s="1"/>
  <c r="F97" i="15"/>
  <c r="F7" i="15" s="1"/>
  <c r="F45" i="14" s="1"/>
  <c r="I222" i="15"/>
  <c r="G18" i="19"/>
  <c r="O10" i="19"/>
  <c r="Q150" i="15" s="1"/>
  <c r="Q42" i="15"/>
  <c r="O14" i="19"/>
  <c r="N222" i="15"/>
  <c r="O15" i="5"/>
  <c r="Q233" i="15" s="1"/>
  <c r="G4" i="2"/>
  <c r="I33" i="15" s="1"/>
  <c r="L14" i="4"/>
  <c r="N214" i="15" s="1"/>
  <c r="I6" i="15"/>
  <c r="I44" i="14" s="1"/>
  <c r="F11" i="15"/>
  <c r="F49" i="14" s="1"/>
  <c r="L6" i="15"/>
  <c r="L44" i="14" s="1"/>
  <c r="N15" i="15"/>
  <c r="N53" i="14" s="1"/>
  <c r="D13" i="15"/>
  <c r="D51" i="14" s="1"/>
  <c r="D12" i="15"/>
  <c r="D50" i="14" s="1"/>
  <c r="G14" i="18"/>
  <c r="I221" i="15" s="1"/>
  <c r="F5" i="15"/>
  <c r="F43" i="14" s="1"/>
  <c r="M13" i="15"/>
  <c r="M51" i="14" s="1"/>
  <c r="G11" i="16"/>
  <c r="I163" i="15" s="1"/>
  <c r="L5" i="15"/>
  <c r="L43" i="14" s="1"/>
  <c r="L9" i="15"/>
  <c r="L47" i="14" s="1"/>
  <c r="G12" i="11"/>
  <c r="I172" i="15" s="1"/>
  <c r="F172" i="15"/>
  <c r="L10" i="15"/>
  <c r="L48" i="14" s="1"/>
  <c r="G9" i="9"/>
  <c r="I126" i="15" s="1"/>
  <c r="N8" i="15"/>
  <c r="N46" i="14" s="1"/>
  <c r="F9" i="15"/>
  <c r="F47" i="14" s="1"/>
  <c r="L11" i="15"/>
  <c r="L49" i="14" s="1"/>
  <c r="F10" i="15"/>
  <c r="F48" i="14" s="1"/>
  <c r="N14" i="15"/>
  <c r="N52" i="14" s="1"/>
  <c r="L9" i="4"/>
  <c r="N124" i="15" s="1"/>
  <c r="Q124" i="15"/>
  <c r="L6" i="4"/>
  <c r="N70" i="15" s="1"/>
  <c r="Q70" i="15"/>
  <c r="Q167" i="15"/>
  <c r="O14" i="18"/>
  <c r="Q221" i="15" s="1"/>
  <c r="I7" i="15"/>
  <c r="I45" i="14" s="1"/>
  <c r="F175" i="15"/>
  <c r="G12" i="13"/>
  <c r="I175" i="15" s="1"/>
  <c r="H287" i="15"/>
  <c r="H18" i="15" s="1"/>
  <c r="H56" i="14" s="1"/>
  <c r="G18" i="5"/>
  <c r="I287" i="15" s="1"/>
  <c r="N287" i="15"/>
  <c r="N18" i="15" s="1"/>
  <c r="N56" i="14" s="1"/>
  <c r="N18" i="5"/>
  <c r="G4" i="16"/>
  <c r="G9" i="18"/>
  <c r="N57" i="15"/>
  <c r="O5" i="7"/>
  <c r="Q57" i="15" s="1"/>
  <c r="L4" i="13"/>
  <c r="N195" i="15"/>
  <c r="O13" i="2"/>
  <c r="Q195" i="15" s="1"/>
  <c r="N72" i="15"/>
  <c r="O6" i="9"/>
  <c r="Q72" i="15" s="1"/>
  <c r="O6" i="7"/>
  <c r="Q75" i="15" s="1"/>
  <c r="N75" i="15"/>
  <c r="L4" i="11"/>
  <c r="O13" i="5"/>
  <c r="Q197" i="15" s="1"/>
  <c r="N197" i="15"/>
  <c r="L11" i="17"/>
  <c r="I57" i="15"/>
  <c r="G9" i="7"/>
  <c r="I129" i="15" s="1"/>
  <c r="I133" i="15" s="1"/>
  <c r="D13" i="4"/>
  <c r="F196" i="15" s="1"/>
  <c r="I196" i="15"/>
  <c r="O5" i="6"/>
  <c r="Q48" i="15" s="1"/>
  <c r="N48" i="15"/>
  <c r="I179" i="15"/>
  <c r="G10" i="17"/>
  <c r="N87" i="15"/>
  <c r="O7" i="2"/>
  <c r="Q87" i="15" s="1"/>
  <c r="Q140" i="15"/>
  <c r="L10" i="8"/>
  <c r="N140" i="15" s="1"/>
  <c r="O14" i="8"/>
  <c r="O10" i="13"/>
  <c r="Q139" i="15" s="1"/>
  <c r="Q151" i="15" s="1"/>
  <c r="N139" i="15"/>
  <c r="N151" i="15" s="1"/>
  <c r="N89" i="15"/>
  <c r="O7" i="5"/>
  <c r="Q89" i="15" s="1"/>
  <c r="N38" i="15"/>
  <c r="O4" i="10"/>
  <c r="L13" i="10"/>
  <c r="L200" i="15"/>
  <c r="G11" i="17"/>
  <c r="I166" i="15" s="1"/>
  <c r="I197" i="15"/>
  <c r="O6" i="17"/>
  <c r="Q76" i="15" s="1"/>
  <c r="N76" i="15"/>
  <c r="L4" i="8"/>
  <c r="N32" i="15" s="1"/>
  <c r="Q32" i="15"/>
  <c r="O9" i="8"/>
  <c r="Q122" i="15" s="1"/>
  <c r="F200" i="15"/>
  <c r="G13" i="10"/>
  <c r="I200" i="15" s="1"/>
  <c r="O7" i="16"/>
  <c r="Q91" i="15" s="1"/>
  <c r="N91" i="15"/>
  <c r="G4" i="13"/>
  <c r="F31" i="15"/>
  <c r="F43" i="15" s="1"/>
  <c r="I212" i="15"/>
  <c r="I14" i="15" s="1"/>
  <c r="I52" i="14" s="1"/>
  <c r="G16" i="8"/>
  <c r="N144" i="15"/>
  <c r="O10" i="9"/>
  <c r="I58" i="15"/>
  <c r="G9" i="17"/>
  <c r="I154" i="15"/>
  <c r="O11" i="11"/>
  <c r="Q154" i="15" s="1"/>
  <c r="O7" i="11"/>
  <c r="Q82" i="15" s="1"/>
  <c r="N82" i="15"/>
  <c r="L174" i="15"/>
  <c r="L187" i="15" s="1"/>
  <c r="L12" i="6"/>
  <c r="Q268" i="15"/>
  <c r="L17" i="4"/>
  <c r="N268" i="15" s="1"/>
  <c r="N17" i="15" s="1"/>
  <c r="N55" i="14" s="1"/>
  <c r="L192" i="15"/>
  <c r="L205" i="15" s="1"/>
  <c r="L13" i="6"/>
  <c r="I177" i="15"/>
  <c r="G18" i="2"/>
  <c r="F182" i="15"/>
  <c r="G12" i="10"/>
  <c r="O10" i="16"/>
  <c r="Q145" i="15" s="1"/>
  <c r="I145" i="15"/>
  <c r="Q68" i="15"/>
  <c r="L6" i="8"/>
  <c r="N68" i="15" s="1"/>
  <c r="O4" i="2"/>
  <c r="N33" i="15"/>
  <c r="O11" i="7"/>
  <c r="Q165" i="15" s="1"/>
  <c r="N165" i="15"/>
  <c r="O9" i="11"/>
  <c r="Q118" i="15" s="1"/>
  <c r="N118" i="15"/>
  <c r="N162" i="15"/>
  <c r="O11" i="9"/>
  <c r="Q162" i="15" s="1"/>
  <c r="N51" i="15"/>
  <c r="O5" i="2"/>
  <c r="Q51" i="15" s="1"/>
  <c r="I48" i="15"/>
  <c r="G11" i="6"/>
  <c r="I156" i="15" s="1"/>
  <c r="I178" i="15"/>
  <c r="G18" i="4"/>
  <c r="D12" i="4"/>
  <c r="F178" i="15" s="1"/>
  <c r="I147" i="15"/>
  <c r="G14" i="7"/>
  <c r="O11" i="4"/>
  <c r="Q160" i="15" s="1"/>
  <c r="L4" i="4"/>
  <c r="N34" i="15" s="1"/>
  <c r="Q34" i="15"/>
  <c r="N85" i="15"/>
  <c r="O7" i="13"/>
  <c r="Q85" i="15" s="1"/>
  <c r="M163" i="15"/>
  <c r="L11" i="16"/>
  <c r="F192" i="15"/>
  <c r="G13" i="6"/>
  <c r="I192" i="15" s="1"/>
  <c r="I205" i="15" s="1"/>
  <c r="N56" i="15"/>
  <c r="O5" i="10"/>
  <c r="Q56" i="15" s="1"/>
  <c r="Q50" i="15"/>
  <c r="L5" i="8"/>
  <c r="N50" i="15" s="1"/>
  <c r="G11" i="5"/>
  <c r="I161" i="15" s="1"/>
  <c r="O4" i="6"/>
  <c r="N30" i="15"/>
  <c r="Q52" i="15"/>
  <c r="L5" i="4"/>
  <c r="N52" i="15" s="1"/>
  <c r="N59" i="15"/>
  <c r="O5" i="18"/>
  <c r="Q59" i="15" s="1"/>
  <c r="G11" i="10"/>
  <c r="I164" i="15" s="1"/>
  <c r="F174" i="15"/>
  <c r="F187" i="15" s="1"/>
  <c r="G12" i="6"/>
  <c r="I144" i="15"/>
  <c r="I10" i="15" s="1"/>
  <c r="I48" i="14" s="1"/>
  <c r="G15" i="9"/>
  <c r="L182" i="15"/>
  <c r="L12" i="10"/>
  <c r="O6" i="18"/>
  <c r="Q77" i="15" s="1"/>
  <c r="N77" i="15"/>
  <c r="N64" i="15"/>
  <c r="O6" i="11"/>
  <c r="Q64" i="15" s="1"/>
  <c r="M172" i="15"/>
  <c r="L12" i="11"/>
  <c r="N136" i="15"/>
  <c r="O10" i="11"/>
  <c r="Q136" i="15" s="1"/>
  <c r="Q158" i="15"/>
  <c r="L11" i="8"/>
  <c r="N158" i="15" s="1"/>
  <c r="G12" i="12"/>
  <c r="I173" i="15" s="1"/>
  <c r="N147" i="15"/>
  <c r="O10" i="7"/>
  <c r="N35" i="15"/>
  <c r="O4" i="5"/>
  <c r="F28" i="15"/>
  <c r="G4" i="11"/>
  <c r="Q137" i="15"/>
  <c r="O11" i="13"/>
  <c r="Q157" i="15" s="1"/>
  <c r="I157" i="15"/>
  <c r="N179" i="15"/>
  <c r="L10" i="17"/>
  <c r="O12" i="5"/>
  <c r="N40" i="15"/>
  <c r="O4" i="17"/>
  <c r="N54" i="15"/>
  <c r="O5" i="9"/>
  <c r="Q54" i="15" s="1"/>
  <c r="M175" i="15"/>
  <c r="M187" i="15" s="1"/>
  <c r="L12" i="13"/>
  <c r="N41" i="15"/>
  <c r="O4" i="18"/>
  <c r="L178" i="15"/>
  <c r="O12" i="4"/>
  <c r="L4" i="16"/>
  <c r="N73" i="15"/>
  <c r="O6" i="16"/>
  <c r="Q73" i="15" s="1"/>
  <c r="O8" i="12"/>
  <c r="Q101" i="15" s="1"/>
  <c r="Q8" i="15" s="1"/>
  <c r="Q46" i="14" s="1"/>
  <c r="N177" i="15"/>
  <c r="O12" i="2"/>
  <c r="N58" i="15"/>
  <c r="O5" i="17"/>
  <c r="Q58" i="15" s="1"/>
  <c r="N121" i="15"/>
  <c r="N133" i="15" s="1"/>
  <c r="O9" i="13"/>
  <c r="Q121" i="15" s="1"/>
  <c r="N74" i="15"/>
  <c r="O6" i="10"/>
  <c r="Q74" i="15" s="1"/>
  <c r="L7" i="4"/>
  <c r="N88" i="15" s="1"/>
  <c r="Q88" i="15"/>
  <c r="N84" i="15"/>
  <c r="O7" i="6"/>
  <c r="Q84" i="15" s="1"/>
  <c r="N39" i="15"/>
  <c r="O4" i="7"/>
  <c r="N53" i="15"/>
  <c r="O5" i="5"/>
  <c r="Q53" i="15" s="1"/>
  <c r="O7" i="10"/>
  <c r="Q92" i="15" s="1"/>
  <c r="N92" i="15"/>
  <c r="N36" i="15"/>
  <c r="O4" i="9"/>
  <c r="O6" i="13"/>
  <c r="Q67" i="15" s="1"/>
  <c r="Q79" i="15" s="1"/>
  <c r="N67" i="15"/>
  <c r="N79" i="15" s="1"/>
  <c r="O13" i="4"/>
  <c r="L196" i="15"/>
  <c r="Q133" i="15" l="1"/>
  <c r="I9" i="15"/>
  <c r="I47" i="14" s="1"/>
  <c r="Q17" i="15"/>
  <c r="Q55" i="14" s="1"/>
  <c r="F4" i="15"/>
  <c r="F42" i="14" s="1"/>
  <c r="N61" i="15"/>
  <c r="N5" i="15" s="1"/>
  <c r="N43" i="14" s="1"/>
  <c r="N97" i="15"/>
  <c r="N7" i="15" s="1"/>
  <c r="N45" i="14" s="1"/>
  <c r="Q61" i="15"/>
  <c r="Q5" i="15" s="1"/>
  <c r="Q43" i="14" s="1"/>
  <c r="Q97" i="15"/>
  <c r="Q7" i="15" s="1"/>
  <c r="Q45" i="14" s="1"/>
  <c r="G11" i="2"/>
  <c r="I159" i="15" s="1"/>
  <c r="I169" i="15" s="1"/>
  <c r="I11" i="15" s="1"/>
  <c r="I49" i="14" s="1"/>
  <c r="F205" i="15"/>
  <c r="F13" i="15" s="1"/>
  <c r="F51" i="14" s="1"/>
  <c r="I61" i="15"/>
  <c r="I5" i="15" s="1"/>
  <c r="I43" i="14" s="1"/>
  <c r="Q222" i="15"/>
  <c r="O18" i="19"/>
  <c r="G20" i="19"/>
  <c r="C329" i="15" s="1"/>
  <c r="I294" i="15"/>
  <c r="N11" i="15"/>
  <c r="N49" i="14" s="1"/>
  <c r="G16" i="18"/>
  <c r="C328" i="15" s="1"/>
  <c r="G14" i="16"/>
  <c r="I217" i="15" s="1"/>
  <c r="L13" i="15"/>
  <c r="L51" i="14" s="1"/>
  <c r="L12" i="15"/>
  <c r="L50" i="14" s="1"/>
  <c r="F12" i="15"/>
  <c r="F50" i="14" s="1"/>
  <c r="I37" i="15"/>
  <c r="G19" i="5"/>
  <c r="I305" i="15" s="1"/>
  <c r="N10" i="15"/>
  <c r="N48" i="14" s="1"/>
  <c r="Q6" i="15"/>
  <c r="Q44" i="14" s="1"/>
  <c r="N9" i="15"/>
  <c r="N47" i="14" s="1"/>
  <c r="N6" i="15"/>
  <c r="N44" i="14" s="1"/>
  <c r="M12" i="15"/>
  <c r="M50" i="14" s="1"/>
  <c r="P287" i="15"/>
  <c r="P18" i="15" s="1"/>
  <c r="P56" i="14" s="1"/>
  <c r="O18" i="5"/>
  <c r="Q287" i="15" s="1"/>
  <c r="I131" i="15"/>
  <c r="O12" i="10"/>
  <c r="N182" i="15"/>
  <c r="G20" i="4"/>
  <c r="I286" i="15"/>
  <c r="I130" i="15"/>
  <c r="N37" i="15"/>
  <c r="O4" i="16"/>
  <c r="O18" i="2"/>
  <c r="Q177" i="15"/>
  <c r="N175" i="15"/>
  <c r="O12" i="13"/>
  <c r="Q175" i="15" s="1"/>
  <c r="O11" i="5"/>
  <c r="Q161" i="15" s="1"/>
  <c r="Q35" i="15"/>
  <c r="Q196" i="15"/>
  <c r="L13" i="4"/>
  <c r="N196" i="15" s="1"/>
  <c r="G12" i="17"/>
  <c r="I184" i="15" s="1"/>
  <c r="I148" i="15"/>
  <c r="O11" i="17"/>
  <c r="Q166" i="15" s="1"/>
  <c r="N166" i="15"/>
  <c r="Q39" i="15"/>
  <c r="O9" i="7"/>
  <c r="Q129" i="15" s="1"/>
  <c r="Q147" i="15"/>
  <c r="O14" i="7"/>
  <c r="N172" i="15"/>
  <c r="O12" i="11"/>
  <c r="Q172" i="15" s="1"/>
  <c r="I234" i="15"/>
  <c r="G17" i="9"/>
  <c r="I182" i="15"/>
  <c r="G18" i="10"/>
  <c r="O12" i="6"/>
  <c r="N174" i="15"/>
  <c r="N187" i="15" s="1"/>
  <c r="Q144" i="15"/>
  <c r="Q10" i="15" s="1"/>
  <c r="Q48" i="14" s="1"/>
  <c r="O15" i="9"/>
  <c r="Q212" i="15"/>
  <c r="Q14" i="15" s="1"/>
  <c r="Q52" i="14" s="1"/>
  <c r="O16" i="8"/>
  <c r="K319" i="15" s="1"/>
  <c r="Q36" i="15"/>
  <c r="O9" i="9"/>
  <c r="Q126" i="15" s="1"/>
  <c r="L12" i="4"/>
  <c r="N178" i="15" s="1"/>
  <c r="Q178" i="15"/>
  <c r="O18" i="4"/>
  <c r="O9" i="17"/>
  <c r="Q40" i="15"/>
  <c r="O12" i="12"/>
  <c r="Q173" i="15" s="1"/>
  <c r="C316" i="15"/>
  <c r="I13" i="15"/>
  <c r="I51" i="14" s="1"/>
  <c r="I174" i="15"/>
  <c r="G19" i="6"/>
  <c r="Q30" i="15"/>
  <c r="O11" i="6"/>
  <c r="Q156" i="15" s="1"/>
  <c r="O11" i="16"/>
  <c r="Q163" i="15" s="1"/>
  <c r="N163" i="15"/>
  <c r="I285" i="15"/>
  <c r="C319" i="15"/>
  <c r="N200" i="15"/>
  <c r="O13" i="10"/>
  <c r="Q200" i="15" s="1"/>
  <c r="N28" i="15"/>
  <c r="O4" i="11"/>
  <c r="I219" i="15"/>
  <c r="G16" i="7"/>
  <c r="O11" i="2"/>
  <c r="Q159" i="15" s="1"/>
  <c r="Q33" i="15"/>
  <c r="Q38" i="15"/>
  <c r="O11" i="10"/>
  <c r="Q164" i="15" s="1"/>
  <c r="N31" i="15"/>
  <c r="N43" i="15" s="1"/>
  <c r="O4" i="13"/>
  <c r="N192" i="15"/>
  <c r="O13" i="6"/>
  <c r="Q192" i="15" s="1"/>
  <c r="Q205" i="15" s="1"/>
  <c r="Q41" i="15"/>
  <c r="O9" i="18"/>
  <c r="Q179" i="15"/>
  <c r="I28" i="15"/>
  <c r="G15" i="11"/>
  <c r="N148" i="15"/>
  <c r="O10" i="17"/>
  <c r="I31" i="15"/>
  <c r="I43" i="15" s="1"/>
  <c r="G15" i="13"/>
  <c r="Q9" i="15" l="1"/>
  <c r="Q47" i="14" s="1"/>
  <c r="G20" i="2"/>
  <c r="Q169" i="15"/>
  <c r="Q11" i="15" s="1"/>
  <c r="Q49" i="14" s="1"/>
  <c r="I295" i="15"/>
  <c r="I18" i="15" s="1"/>
  <c r="I56" i="14" s="1"/>
  <c r="I187" i="15"/>
  <c r="I12" i="15" s="1"/>
  <c r="I50" i="14" s="1"/>
  <c r="N205" i="15"/>
  <c r="N13" i="15" s="1"/>
  <c r="N51" i="14" s="1"/>
  <c r="O20" i="19"/>
  <c r="Q294" i="15"/>
  <c r="C324" i="15"/>
  <c r="O19" i="5"/>
  <c r="Q305" i="15" s="1"/>
  <c r="G21" i="5"/>
  <c r="C322" i="15" s="1"/>
  <c r="I4" i="15"/>
  <c r="I42" i="14" s="1"/>
  <c r="N4" i="15"/>
  <c r="N42" i="14" s="1"/>
  <c r="N12" i="15"/>
  <c r="N50" i="14" s="1"/>
  <c r="G14" i="17"/>
  <c r="C327" i="15" s="1"/>
  <c r="Q13" i="15"/>
  <c r="Q51" i="14" s="1"/>
  <c r="K316" i="15"/>
  <c r="C323" i="15"/>
  <c r="Q148" i="15"/>
  <c r="O12" i="17"/>
  <c r="Q184" i="15" s="1"/>
  <c r="Q131" i="15"/>
  <c r="O16" i="18"/>
  <c r="I229" i="15"/>
  <c r="C318" i="15"/>
  <c r="O15" i="11"/>
  <c r="G17" i="11" s="1"/>
  <c r="G22" i="11" s="1"/>
  <c r="G24" i="11" s="1"/>
  <c r="Q28" i="15"/>
  <c r="Q130" i="15"/>
  <c r="Q234" i="15"/>
  <c r="O17" i="9"/>
  <c r="K323" i="15" s="1"/>
  <c r="Q286" i="15"/>
  <c r="O20" i="4"/>
  <c r="K321" i="15" s="1"/>
  <c r="Q285" i="15"/>
  <c r="O20" i="2"/>
  <c r="K320" i="15" s="1"/>
  <c r="C321" i="15"/>
  <c r="Q31" i="15"/>
  <c r="Q43" i="15" s="1"/>
  <c r="O15" i="13"/>
  <c r="G17" i="13" s="1"/>
  <c r="G22" i="13" s="1"/>
  <c r="G24" i="13" s="1"/>
  <c r="G21" i="6"/>
  <c r="I300" i="15"/>
  <c r="G18" i="8"/>
  <c r="G23" i="8" s="1"/>
  <c r="G25" i="8" s="1"/>
  <c r="O16" i="7"/>
  <c r="K326" i="15" s="1"/>
  <c r="Q219" i="15"/>
  <c r="Q37" i="15"/>
  <c r="O14" i="16"/>
  <c r="G20" i="10"/>
  <c r="I290" i="15"/>
  <c r="C315" i="15"/>
  <c r="I226" i="15"/>
  <c r="C326" i="15"/>
  <c r="C320" i="15"/>
  <c r="G14" i="12"/>
  <c r="G19" i="12" s="1"/>
  <c r="G21" i="12" s="1"/>
  <c r="O19" i="6"/>
  <c r="Q174" i="15"/>
  <c r="Q182" i="15"/>
  <c r="O18" i="10"/>
  <c r="Q295" i="15" l="1"/>
  <c r="I241" i="15"/>
  <c r="I15" i="15" s="1"/>
  <c r="I53" i="14" s="1"/>
  <c r="Q187" i="15"/>
  <c r="Q12" i="15" s="1"/>
  <c r="Q50" i="14" s="1"/>
  <c r="I313" i="15"/>
  <c r="I19" i="15" s="1"/>
  <c r="I57" i="14" s="1"/>
  <c r="G22" i="19"/>
  <c r="G27" i="19" s="1"/>
  <c r="G29" i="19" s="1"/>
  <c r="K329" i="15"/>
  <c r="O14" i="17"/>
  <c r="K327" i="15" s="1"/>
  <c r="Q18" i="15"/>
  <c r="Q56" i="14" s="1"/>
  <c r="O21" i="5"/>
  <c r="K322" i="15" s="1"/>
  <c r="Q4" i="15"/>
  <c r="Q42" i="14" s="1"/>
  <c r="G19" i="9"/>
  <c r="G24" i="9" s="1"/>
  <c r="G26" i="9" s="1"/>
  <c r="G22" i="4"/>
  <c r="G27" i="4" s="1"/>
  <c r="G29" i="4" s="1"/>
  <c r="G22" i="2"/>
  <c r="G27" i="2" s="1"/>
  <c r="G29" i="2" s="1"/>
  <c r="G18" i="7"/>
  <c r="G23" i="7" s="1"/>
  <c r="G25" i="7" s="1"/>
  <c r="K315" i="15"/>
  <c r="Q226" i="15"/>
  <c r="C325" i="15"/>
  <c r="Q229" i="15"/>
  <c r="K318" i="15"/>
  <c r="C317" i="15"/>
  <c r="O20" i="10"/>
  <c r="K325" i="15" s="1"/>
  <c r="Q290" i="15"/>
  <c r="K324" i="15"/>
  <c r="Q217" i="15"/>
  <c r="G16" i="16"/>
  <c r="G21" i="16" s="1"/>
  <c r="G23" i="16" s="1"/>
  <c r="K328" i="15"/>
  <c r="G18" i="18"/>
  <c r="G23" i="18" s="1"/>
  <c r="G25" i="18" s="1"/>
  <c r="Q300" i="15"/>
  <c r="O21" i="6"/>
  <c r="K317" i="15" s="1"/>
  <c r="Q241" i="15" l="1"/>
  <c r="Q15" i="15" s="1"/>
  <c r="Q53" i="14" s="1"/>
  <c r="K330" i="15"/>
  <c r="Q313" i="15"/>
  <c r="Q19" i="15" s="1"/>
  <c r="Q57" i="14" s="1"/>
  <c r="C330" i="15"/>
  <c r="I40" i="14" s="1"/>
  <c r="G16" i="17"/>
  <c r="G21" i="17" s="1"/>
  <c r="G23" i="17" s="1"/>
  <c r="G23" i="5"/>
  <c r="G28" i="5" s="1"/>
  <c r="G30" i="5" s="1"/>
  <c r="G22" i="10"/>
  <c r="G27" i="10" s="1"/>
  <c r="G29" i="10" s="1"/>
  <c r="G23" i="6"/>
  <c r="G28" i="6" s="1"/>
  <c r="G30" i="6" s="1"/>
  <c r="C2" i="15" l="1"/>
  <c r="D38" i="14" s="1"/>
  <c r="L33" i="14"/>
  <c r="L34" i="14" s="1"/>
  <c r="D34" i="14" s="1"/>
  <c r="Q40" i="14"/>
  <c r="F7" i="1"/>
  <c r="E7" i="1"/>
  <c r="F4" i="1"/>
  <c r="E4" i="1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<sst xmlns="http://schemas.openxmlformats.org/spreadsheetml/2006/main" count="1328" uniqueCount="208">
  <si>
    <t>PASS</t>
  </si>
  <si>
    <t>URSSAF BASES ET TAUX HORS CIPAV</t>
  </si>
  <si>
    <t>CSP OBLIGATOIRES</t>
  </si>
  <si>
    <t>RIOGA APPLICABLE</t>
  </si>
  <si>
    <t>MALADIE 1</t>
  </si>
  <si>
    <t>MALADIE 2 - IJ</t>
  </si>
  <si>
    <t>R min</t>
  </si>
  <si>
    <t>R max</t>
  </si>
  <si>
    <t>COT MAXI</t>
  </si>
  <si>
    <t>COT MINI</t>
  </si>
  <si>
    <t>ALLOC. FAM</t>
  </si>
  <si>
    <t>CSG-CRDS</t>
  </si>
  <si>
    <t>CFP</t>
  </si>
  <si>
    <t>RETRAITE DE BASE 1</t>
  </si>
  <si>
    <t>T1</t>
  </si>
  <si>
    <t>T2</t>
  </si>
  <si>
    <t>CAISSE DE RETRAITE</t>
  </si>
  <si>
    <t>COMPLEMENTAIRE</t>
  </si>
  <si>
    <t>Maladie 1</t>
  </si>
  <si>
    <t>ASSIETTE</t>
  </si>
  <si>
    <t>Indemnités Journalières</t>
  </si>
  <si>
    <t>Allocations Familiales</t>
  </si>
  <si>
    <t>PCPAM</t>
  </si>
  <si>
    <t>URPS</t>
  </si>
  <si>
    <t>TOTAL URSSAF</t>
  </si>
  <si>
    <t>SANS RIOGA</t>
  </si>
  <si>
    <t>RETRAITE DE BASE 2</t>
  </si>
  <si>
    <t>Retraite de base 1</t>
  </si>
  <si>
    <t>Retraite de base 2</t>
  </si>
  <si>
    <t>CARMF</t>
  </si>
  <si>
    <t>Retraite complémentaire</t>
  </si>
  <si>
    <t>INV DECES</t>
  </si>
  <si>
    <t>Invalidité-décès</t>
  </si>
  <si>
    <t>ASV</t>
  </si>
  <si>
    <t>ASV Cot. Forfaitaire</t>
  </si>
  <si>
    <t>Forfaitaire</t>
  </si>
  <si>
    <t>Proportionnelle</t>
  </si>
  <si>
    <t>ASV Cot. Proportionnelle</t>
  </si>
  <si>
    <t>PCPAM proportionnelle</t>
  </si>
  <si>
    <t>TOTAL CARMF</t>
  </si>
  <si>
    <t>Retraite complément. forfaitaire</t>
  </si>
  <si>
    <t>Retraite complément. proportionnelle</t>
  </si>
  <si>
    <t>CARPIMKO</t>
  </si>
  <si>
    <t xml:space="preserve">ASV Proportionnelle </t>
  </si>
  <si>
    <t xml:space="preserve">ASV Forfaitaire </t>
  </si>
  <si>
    <t>TOTAL CARPIMKO</t>
  </si>
  <si>
    <t>Complémentaire</t>
  </si>
  <si>
    <t>CARPV</t>
  </si>
  <si>
    <t>Minimum</t>
  </si>
  <si>
    <t>TOTAL CARPV</t>
  </si>
  <si>
    <t>CAVEC</t>
  </si>
  <si>
    <t>INV-DECES</t>
  </si>
  <si>
    <t>TOTAL CAVEC</t>
  </si>
  <si>
    <t>CIPAV</t>
  </si>
  <si>
    <t>Tranche 1</t>
  </si>
  <si>
    <t>Retraite complément. Tr 2</t>
  </si>
  <si>
    <t>Retraite complément.Tr 1</t>
  </si>
  <si>
    <t>Tranche 2</t>
  </si>
  <si>
    <t>AVEC RIOGA</t>
  </si>
  <si>
    <t>TOTAL CHARGES SOCIALES</t>
  </si>
  <si>
    <t>TAUX</t>
  </si>
  <si>
    <t>COTISATION</t>
  </si>
  <si>
    <t>SANS APPLICATION RIOGA</t>
  </si>
  <si>
    <t>AVEC APPLICATION RIOGA</t>
  </si>
  <si>
    <t>MONTANT</t>
  </si>
  <si>
    <t>COTIS. NETTE</t>
  </si>
  <si>
    <t>EXO</t>
  </si>
  <si>
    <t>AUTRES REVENUS (PAM)</t>
  </si>
  <si>
    <t>TAUX URSSAF (CHIR-DENT)</t>
  </si>
  <si>
    <t>REVENUS TOTAL</t>
  </si>
  <si>
    <t>REVENUS conv (CPAM)</t>
  </si>
  <si>
    <t>Rapport revenu conv/revenu total</t>
  </si>
  <si>
    <t>Contribution additionnelle maladie</t>
  </si>
  <si>
    <t>Cotisation d'assurance maladie</t>
  </si>
  <si>
    <t xml:space="preserve">Prestations vieillesse Forfaitaire </t>
  </si>
  <si>
    <t xml:space="preserve">Prestations vieillesse Proportionnelle </t>
  </si>
  <si>
    <t>CARCDSF</t>
  </si>
  <si>
    <t>Prestation vieillesse complémentaire chirurgien-dentiste</t>
  </si>
  <si>
    <t>TOTAL CARCDSF</t>
  </si>
  <si>
    <t>Prestation vieillesse complémentaire SF</t>
  </si>
  <si>
    <t>Rempla</t>
  </si>
  <si>
    <t>Assurance Vieillesse Plafonnée</t>
  </si>
  <si>
    <t>Assurance Vieillesse Déplafonnée</t>
  </si>
  <si>
    <t>ARTISTES</t>
  </si>
  <si>
    <t>ASSURANCE VIEILLESSE</t>
  </si>
  <si>
    <t>PLAFONNEE</t>
  </si>
  <si>
    <t>Prise en charge état</t>
  </si>
  <si>
    <t>Déplafonnée</t>
  </si>
  <si>
    <t>IRCEC</t>
  </si>
  <si>
    <t>TOTAL IRCEC</t>
  </si>
  <si>
    <t>Seuil affiliation</t>
  </si>
  <si>
    <t>Plafond</t>
  </si>
  <si>
    <t>BASE IRCEC</t>
  </si>
  <si>
    <t>SSI</t>
  </si>
  <si>
    <t>Vieillesse de base</t>
  </si>
  <si>
    <t>Maladie</t>
  </si>
  <si>
    <t xml:space="preserve">Taux </t>
  </si>
  <si>
    <t>Vieillesse complémentaire</t>
  </si>
  <si>
    <t xml:space="preserve">ARTISAN </t>
  </si>
  <si>
    <t>COMMERCANTS</t>
  </si>
  <si>
    <t>Maladie - Tranche 1</t>
  </si>
  <si>
    <t>Maladie - Tranche 2</t>
  </si>
  <si>
    <t>Retraite de base - Tr 1</t>
  </si>
  <si>
    <t>Retraite de base - Tr 2</t>
  </si>
  <si>
    <t>Retraite complément. - Tr 1</t>
  </si>
  <si>
    <t>Retraite complément. - Tr 2</t>
  </si>
  <si>
    <t>BIC - ARTISAN</t>
  </si>
  <si>
    <t>BNC - ARTISTE</t>
  </si>
  <si>
    <t>BNC - CHIRURGIEN-DENTISTE</t>
  </si>
  <si>
    <t>BIC - COMMERÇANT</t>
  </si>
  <si>
    <t>BNC - EXPERT-COMPTABLE et COMMISSAIRE AUX COMPTES</t>
  </si>
  <si>
    <t>BNC - MÉDECIN SECTEUR 1</t>
  </si>
  <si>
    <t>BNC - MÉDECIN SECTEUR 2</t>
  </si>
  <si>
    <t>BNC - PRATICIEN AUXILLIAIRE MÉDICAL relevant de la CARPIMKO</t>
  </si>
  <si>
    <t>BNC - PROFESSIONNEL LIBÉRAL relevant de la CIPAV</t>
  </si>
  <si>
    <t>BNC - PROFESSIONNEL LIBÉRAL relevant Du Régime Général</t>
  </si>
  <si>
    <t>BNC - SAGE-FEMME</t>
  </si>
  <si>
    <t>BNC - VÉTÉRINAIRE</t>
  </si>
  <si>
    <t>CSP Obligatoires</t>
  </si>
  <si>
    <t>Taux URSSAF (Chirurgiens-Dentistes uniquement)</t>
  </si>
  <si>
    <t>Activité exercée en tant que Remplaçant au 1er jour de l'exercice ?</t>
  </si>
  <si>
    <t>Montant de la Réduction d'impôt appliquée</t>
  </si>
  <si>
    <t>ACTIVITÉ EXERCÉE</t>
  </si>
  <si>
    <t xml:space="preserve">Taux marginal d'imposition à l'IR </t>
  </si>
  <si>
    <t>OUI</t>
  </si>
  <si>
    <t>NON</t>
  </si>
  <si>
    <t>IMPACT IR</t>
  </si>
  <si>
    <t>ÉCART LIÉ À L'APPLICATION DE LA RIOGA EN MATIÈRE DE CHARGES SOCIALES</t>
  </si>
  <si>
    <t>ÉCART LIÉ À L'APPLICATION DE LA RIOGA EN MATIÈRE D'IR</t>
  </si>
  <si>
    <t xml:space="preserve">GAIN RIOGA </t>
  </si>
  <si>
    <t>GAIN NET</t>
  </si>
  <si>
    <t>SSI BNC</t>
  </si>
  <si>
    <t>Retraite complément.</t>
  </si>
  <si>
    <t>… Non concerné …</t>
  </si>
  <si>
    <t xml:space="preserve">Surcoût d'IR : </t>
  </si>
  <si>
    <t>LIGNE 1</t>
  </si>
  <si>
    <t>LIGNE 2 : A5</t>
  </si>
  <si>
    <t>LIGNE 3 : A6</t>
  </si>
  <si>
    <t>LIGNE 4 : A7</t>
  </si>
  <si>
    <t>LIGNE 5 : A8</t>
  </si>
  <si>
    <t>LIGNE 6 : A9</t>
  </si>
  <si>
    <t>LIGNE 7 : A10</t>
  </si>
  <si>
    <t>LIGNE 8 : A11</t>
  </si>
  <si>
    <t>LIGNE 9 : A12</t>
  </si>
  <si>
    <t>LIGNE 10 : A13</t>
  </si>
  <si>
    <t>LIGNE 11 : A14</t>
  </si>
  <si>
    <t>LIGNE 12 : A15</t>
  </si>
  <si>
    <t>LIGNE 13 : A16</t>
  </si>
  <si>
    <t>LIGNE 14 : A17</t>
  </si>
  <si>
    <t>TOTAL VIEILLESSE</t>
  </si>
  <si>
    <t>LIGNE 15 : A18</t>
  </si>
  <si>
    <t>LIGNE 16 : A19</t>
  </si>
  <si>
    <t xml:space="preserve">Surcoût Charges Sociales : </t>
  </si>
  <si>
    <t>LIGNE 2</t>
  </si>
  <si>
    <t>LIGNE 3</t>
  </si>
  <si>
    <t>LIGNE 4</t>
  </si>
  <si>
    <t>LIGNE 5</t>
  </si>
  <si>
    <t>LIGNE 6</t>
  </si>
  <si>
    <t>LIGNE 7</t>
  </si>
  <si>
    <t>LIGNE 8</t>
  </si>
  <si>
    <t>LIGNE 9</t>
  </si>
  <si>
    <t>LIGNE 10</t>
  </si>
  <si>
    <t>LIGNE 11</t>
  </si>
  <si>
    <t>LIGNE 12</t>
  </si>
  <si>
    <t>LIGNE 13</t>
  </si>
  <si>
    <t>LIGNE 14</t>
  </si>
  <si>
    <t>LIGNE 15</t>
  </si>
  <si>
    <t>LIGNE 16</t>
  </si>
  <si>
    <t>BNC - AGENT D'ASSURANCES</t>
  </si>
  <si>
    <t>BNC - AVOCAT</t>
  </si>
  <si>
    <t>Années Avocats</t>
  </si>
  <si>
    <t>1ère année</t>
  </si>
  <si>
    <t>2ème année</t>
  </si>
  <si>
    <t>3ème année</t>
  </si>
  <si>
    <t>4ème année</t>
  </si>
  <si>
    <t>5ème année</t>
  </si>
  <si>
    <t>6ème année ou +</t>
  </si>
  <si>
    <t>AVOCATS</t>
  </si>
  <si>
    <t>Retraite de base</t>
  </si>
  <si>
    <t>Retraite de base Forfaitaire</t>
  </si>
  <si>
    <t>Retraite de base Proportionnelle</t>
  </si>
  <si>
    <t>C1</t>
  </si>
  <si>
    <t>C2</t>
  </si>
  <si>
    <t>C3</t>
  </si>
  <si>
    <t>C3+</t>
  </si>
  <si>
    <t>classe :</t>
  </si>
  <si>
    <t>c1</t>
  </si>
  <si>
    <t>c2</t>
  </si>
  <si>
    <t>c3</t>
  </si>
  <si>
    <t>c3+</t>
  </si>
  <si>
    <t>tranche 1</t>
  </si>
  <si>
    <t>tranche 2</t>
  </si>
  <si>
    <t>tranche 3</t>
  </si>
  <si>
    <t>tranche 4</t>
  </si>
  <si>
    <t>tranche 5</t>
  </si>
  <si>
    <t xml:space="preserve">Retraite complément. </t>
  </si>
  <si>
    <t>Avocats nb années</t>
  </si>
  <si>
    <t>Avocats classe retraite complément.</t>
  </si>
  <si>
    <t>Architecte, Architecte d’intérieur, Économiste de la construction, Maître d’œuvre, Géomètre-Expert, Ingénieur conseil, Moniteur de ski, Guide de haute montagne et accompagnateur de moyenne montagne, Ostéopathe, Psychologue, Psychothérapeute, Ergothérapeute, Diététicien, Chiropracteur, Psychomotricien, Artiste non affilié à la maison des artistes, Expert en automobile, Expert devant les tribunaux, Mandataire judiciaire à la protection des majeurs, Guide-Conférencier.</t>
  </si>
  <si>
    <t>TOTAL RETRAITE DE BASE</t>
  </si>
  <si>
    <t>0,40%</t>
  </si>
  <si>
    <t>0,75%</t>
  </si>
  <si>
    <t>Infirmier, Masseur-Kinésithérapeute, Pédicure-Podologue (1), Orthophoniste et Orthoptiste. (1) Pour les Pédicures-Podologues ayant renoncé au régime PAM : choisir le cas spécifique</t>
  </si>
  <si>
    <t>BNC - PÉDICURE-PODOLOGUE ayant renoncé au régime des PAM</t>
  </si>
  <si>
    <t>Revenus conventionnés, APRÈS application de la Réduction d'impôt OGA (PAM uniquement)</t>
  </si>
  <si>
    <t>Revenus soumis à cotisations sociales (APRÈS application de la Réduction d'impôt OGA)</t>
  </si>
  <si>
    <t>Autres revenus professionnels non salariés, APRÈS application de la Réduction d'impôt OGA (PAM uniquement)</t>
  </si>
  <si>
    <t>REVENUS 2023 : RÉDUCTION D'IMPÔT POUR FRAIS DE COMPTABILITÉ ET D'ADHÉSION OGA  QUEL IMPACT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</si>
</sst>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_-* #,##0\ [$€-40C]_-;\-* #,##0\ [$€-40C]_-;_-* &quot;-&quot;??\ [$€-40C]_-;_-@_-"/>
    <numFmt numFmtId="165" formatCode="_-* #,##0\ &quot;€&quot;_-;\-* #,##0\ &quot;€&quot;_-;_-* &quot;-&quot;??\ &quot;€&quot;_-;_-@_-"/>
    <numFmt numFmtId="166" formatCode="0.000%"/>
    <numFmt numFmtId="167" formatCode="#,##0\ &quot;€&quot;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rgb="FF002060"/>
      <name val="Arial"/>
      <family val="2"/>
    </font>
    <font>
      <sz val="11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rgb="FFFF0000"/>
      <name val="Wingdings 2"/>
      <family val="1"/>
      <charset val="2"/>
    </font>
    <font>
      <sz val="14"/>
      <color theme="0"/>
      <name val="Arial"/>
      <family val="2"/>
    </font>
    <font>
      <sz val="11"/>
      <color theme="1"/>
      <name val="Arial Narrow"/>
      <family val="2"/>
    </font>
    <font>
      <b/>
      <sz val="14"/>
      <color rgb="FF002060"/>
      <name val="Arial Narrow"/>
      <family val="2"/>
    </font>
    <font>
      <b/>
      <sz val="12"/>
      <color rgb="FF002060"/>
      <name val="Arial Narrow"/>
      <family val="2"/>
    </font>
    <font>
      <b/>
      <sz val="18"/>
      <color rgb="FF002060"/>
      <name val="Arial Narrow"/>
      <family val="2"/>
    </font>
    <font>
      <b/>
      <sz val="22"/>
      <color rgb="FF002060"/>
      <name val="Arial Narrow"/>
      <family val="2"/>
    </font>
    <font>
      <b/>
      <sz val="12"/>
      <color theme="1"/>
      <name val="Arial Narrow"/>
      <family val="2"/>
    </font>
    <font>
      <b/>
      <sz val="16"/>
      <color rgb="FF002060"/>
      <name val="Arial Narrow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Arial Narrow"/>
      <family val="2"/>
    </font>
    <font>
      <i/>
      <sz val="11"/>
      <color theme="1"/>
      <name val="Arial Narrow"/>
      <family val="2"/>
    </font>
    <font>
      <sz val="12"/>
      <color theme="1"/>
      <name val="Arial Narrow"/>
      <family val="2"/>
    </font>
    <font>
      <sz val="12"/>
      <color theme="0"/>
      <name val="Arial Narrow"/>
      <family val="2"/>
    </font>
    <font>
      <sz val="16"/>
      <color theme="1"/>
      <name val="Arial Narrow"/>
      <family val="2"/>
    </font>
    <font>
      <b/>
      <sz val="18"/>
      <name val="Arial Narrow"/>
      <family val="2"/>
    </font>
    <font>
      <b/>
      <sz val="20"/>
      <color rgb="FF002060"/>
      <name val="Arial Narrow"/>
      <family val="2"/>
    </font>
    <font>
      <b/>
      <sz val="26"/>
      <color theme="0"/>
      <name val="Arial Narrow"/>
      <family val="2"/>
    </font>
    <font>
      <i/>
      <sz val="12"/>
      <color rgb="FF002060"/>
      <name val="Aptos Narrow"/>
      <family val="2"/>
    </font>
    <font>
      <b/>
      <i/>
      <sz val="11"/>
      <color rgb="FFFF000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rgb="FF00206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/>
    </xf>
    <xf numFmtId="9" fontId="0" fillId="0" borderId="0" xfId="0" applyNumberFormat="1"/>
    <xf numFmtId="0" fontId="4" fillId="2" borderId="0" xfId="0" applyFont="1" applyFill="1"/>
    <xf numFmtId="10" fontId="0" fillId="0" borderId="0" xfId="0" applyNumberFormat="1"/>
    <xf numFmtId="0" fontId="0" fillId="3" borderId="0" xfId="0" applyFill="1"/>
    <xf numFmtId="0" fontId="2" fillId="0" borderId="0" xfId="0" applyFont="1" applyAlignment="1">
      <alignment horizontal="center"/>
    </xf>
    <xf numFmtId="0" fontId="0" fillId="4" borderId="1" xfId="0" applyFill="1" applyBorder="1"/>
    <xf numFmtId="0" fontId="5" fillId="0" borderId="0" xfId="0" applyFont="1"/>
    <xf numFmtId="0" fontId="2" fillId="5" borderId="2" xfId="0" applyFont="1" applyFill="1" applyBorder="1"/>
    <xf numFmtId="10" fontId="6" fillId="0" borderId="0" xfId="1" applyNumberFormat="1" applyFont="1"/>
    <xf numFmtId="10" fontId="6" fillId="0" borderId="0" xfId="0" applyNumberFormat="1" applyFont="1"/>
    <xf numFmtId="0" fontId="4" fillId="0" borderId="0" xfId="0" applyFont="1"/>
    <xf numFmtId="10" fontId="0" fillId="0" borderId="0" xfId="1" applyNumberFormat="1" applyFont="1"/>
    <xf numFmtId="10" fontId="2" fillId="0" borderId="0" xfId="0" applyNumberFormat="1" applyFont="1"/>
    <xf numFmtId="0" fontId="2" fillId="6" borderId="0" xfId="0" applyFont="1" applyFill="1"/>
    <xf numFmtId="0" fontId="2" fillId="0" borderId="0" xfId="0" applyFont="1"/>
    <xf numFmtId="164" fontId="0" fillId="0" borderId="0" xfId="0" applyNumberFormat="1"/>
    <xf numFmtId="164" fontId="2" fillId="6" borderId="0" xfId="0" applyNumberFormat="1" applyFont="1" applyFill="1"/>
    <xf numFmtId="165" fontId="0" fillId="0" borderId="0" xfId="2" applyNumberFormat="1" applyFont="1"/>
    <xf numFmtId="165" fontId="2" fillId="6" borderId="0" xfId="2" applyNumberFormat="1" applyFont="1" applyFill="1"/>
    <xf numFmtId="165" fontId="7" fillId="7" borderId="0" xfId="0" applyNumberFormat="1" applyFont="1" applyFill="1"/>
    <xf numFmtId="0" fontId="7" fillId="7" borderId="0" xfId="0" applyFont="1" applyFill="1"/>
    <xf numFmtId="165" fontId="8" fillId="5" borderId="0" xfId="0" applyNumberFormat="1" applyFont="1" applyFill="1"/>
    <xf numFmtId="0" fontId="0" fillId="5" borderId="0" xfId="0" applyFill="1"/>
    <xf numFmtId="0" fontId="2" fillId="5" borderId="0" xfId="0" applyFont="1" applyFill="1"/>
    <xf numFmtId="0" fontId="2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1" fillId="6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65" fontId="0" fillId="0" borderId="0" xfId="2" applyNumberFormat="1" applyFont="1" applyAlignment="1">
      <alignment horizontal="center"/>
    </xf>
    <xf numFmtId="165" fontId="2" fillId="6" borderId="0" xfId="2" applyNumberFormat="1" applyFont="1" applyFill="1" applyAlignment="1">
      <alignment horizontal="center"/>
    </xf>
    <xf numFmtId="165" fontId="0" fillId="0" borderId="0" xfId="2" applyNumberFormat="1" applyFont="1" applyAlignment="1">
      <alignment horizontal="center" vertical="center"/>
    </xf>
    <xf numFmtId="165" fontId="2" fillId="6" borderId="0" xfId="2" applyNumberFormat="1" applyFont="1" applyFill="1" applyAlignment="1">
      <alignment horizontal="center" vertical="center"/>
    </xf>
    <xf numFmtId="165" fontId="0" fillId="0" borderId="0" xfId="0" applyNumberFormat="1" applyAlignment="1">
      <alignment horizontal="center"/>
    </xf>
    <xf numFmtId="0" fontId="2" fillId="0" borderId="2" xfId="0" applyFont="1" applyBorder="1"/>
    <xf numFmtId="1" fontId="0" fillId="0" borderId="0" xfId="2" applyNumberFormat="1" applyFont="1" applyAlignment="1">
      <alignment horizontal="center"/>
    </xf>
    <xf numFmtId="1" fontId="2" fillId="6" borderId="0" xfId="2" applyNumberFormat="1" applyFont="1" applyFill="1" applyAlignment="1">
      <alignment horizontal="center"/>
    </xf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2" fillId="0" borderId="0" xfId="1" applyNumberFormat="1" applyFont="1"/>
    <xf numFmtId="0" fontId="14" fillId="0" borderId="0" xfId="0" applyFont="1" applyAlignment="1">
      <alignment vertical="center"/>
    </xf>
    <xf numFmtId="2" fontId="2" fillId="8" borderId="2" xfId="0" applyNumberFormat="1" applyFont="1" applyFill="1" applyBorder="1"/>
    <xf numFmtId="165" fontId="0" fillId="0" borderId="0" xfId="0" applyNumberFormat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20" fillId="0" borderId="0" xfId="0" applyFont="1"/>
    <xf numFmtId="0" fontId="20" fillId="0" borderId="0" xfId="0" applyFont="1" applyAlignment="1">
      <alignment horizontal="right" vertical="center" indent="2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0" fillId="0" borderId="6" xfId="0" applyFont="1" applyBorder="1"/>
    <xf numFmtId="0" fontId="24" fillId="0" borderId="0" xfId="0" applyFont="1" applyAlignment="1">
      <alignment horizontal="right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1" fontId="2" fillId="0" borderId="0" xfId="2" applyNumberFormat="1" applyFont="1"/>
    <xf numFmtId="165" fontId="2" fillId="0" borderId="0" xfId="2" applyNumberFormat="1" applyFont="1"/>
    <xf numFmtId="0" fontId="17" fillId="0" borderId="0" xfId="0" applyFont="1" applyAlignment="1">
      <alignment horizontal="center"/>
    </xf>
    <xf numFmtId="0" fontId="0" fillId="10" borderId="0" xfId="0" applyFill="1"/>
    <xf numFmtId="0" fontId="27" fillId="0" borderId="0" xfId="0" applyFont="1" applyAlignment="1">
      <alignment horizontal="center"/>
    </xf>
    <xf numFmtId="0" fontId="28" fillId="0" borderId="0" xfId="0" applyFont="1"/>
    <xf numFmtId="165" fontId="20" fillId="0" borderId="0" xfId="2" applyNumberFormat="1" applyFont="1" applyAlignment="1">
      <alignment vertical="center"/>
    </xf>
    <xf numFmtId="0" fontId="22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65" fontId="30" fillId="0" borderId="0" xfId="2" applyNumberFormat="1" applyFont="1" applyAlignment="1">
      <alignment vertical="center"/>
    </xf>
    <xf numFmtId="0" fontId="31" fillId="0" borderId="0" xfId="0" applyFont="1" applyAlignment="1">
      <alignment vertical="center"/>
    </xf>
    <xf numFmtId="1" fontId="31" fillId="0" borderId="0" xfId="0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65" fontId="31" fillId="0" borderId="0" xfId="0" applyNumberFormat="1" applyFont="1" applyAlignment="1">
      <alignment vertical="center"/>
    </xf>
    <xf numFmtId="165" fontId="25" fillId="0" borderId="0" xfId="2" applyNumberFormat="1" applyFont="1" applyAlignment="1">
      <alignment vertical="center"/>
    </xf>
    <xf numFmtId="165" fontId="33" fillId="0" borderId="0" xfId="2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16" fillId="0" borderId="0" xfId="0" applyFont="1"/>
    <xf numFmtId="165" fontId="30" fillId="0" borderId="0" xfId="2" applyNumberFormat="1" applyFont="1" applyAlignment="1">
      <alignment horizontal="center" vertical="center"/>
    </xf>
    <xf numFmtId="165" fontId="20" fillId="0" borderId="0" xfId="2" applyNumberFormat="1" applyFont="1" applyAlignment="1">
      <alignment horizontal="center" vertical="center"/>
    </xf>
    <xf numFmtId="14" fontId="21" fillId="0" borderId="0" xfId="0" applyNumberFormat="1" applyFont="1" applyAlignment="1">
      <alignment vertical="center"/>
    </xf>
    <xf numFmtId="0" fontId="0" fillId="11" borderId="0" xfId="0" applyFill="1"/>
    <xf numFmtId="1" fontId="0" fillId="0" borderId="0" xfId="0" applyNumberFormat="1"/>
    <xf numFmtId="167" fontId="2" fillId="6" borderId="0" xfId="0" applyNumberFormat="1" applyFont="1" applyFill="1"/>
    <xf numFmtId="2" fontId="0" fillId="0" borderId="0" xfId="0" applyNumberFormat="1"/>
    <xf numFmtId="9" fontId="21" fillId="0" borderId="0" xfId="1" applyFont="1" applyFill="1" applyBorder="1" applyAlignment="1" applyProtection="1">
      <alignment horizontal="center" vertical="center"/>
    </xf>
    <xf numFmtId="2" fontId="2" fillId="5" borderId="2" xfId="0" applyNumberFormat="1" applyFont="1" applyFill="1" applyBorder="1"/>
    <xf numFmtId="49" fontId="0" fillId="0" borderId="0" xfId="0" applyNumberFormat="1" applyAlignment="1">
      <alignment horizontal="center"/>
    </xf>
    <xf numFmtId="0" fontId="36" fillId="9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165" fontId="34" fillId="0" borderId="0" xfId="2" applyNumberFormat="1" applyFont="1" applyAlignment="1">
      <alignment horizontal="right" vertical="center" wrapText="1" indent="4"/>
    </xf>
    <xf numFmtId="0" fontId="35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9" fontId="21" fillId="5" borderId="3" xfId="1" applyFont="1" applyFill="1" applyBorder="1" applyAlignment="1" applyProtection="1">
      <alignment horizontal="center" vertical="center"/>
      <protection locked="0"/>
    </xf>
    <xf numFmtId="9" fontId="21" fillId="5" borderId="4" xfId="1" applyFont="1" applyFill="1" applyBorder="1" applyAlignment="1" applyProtection="1">
      <alignment horizontal="center" vertical="center"/>
      <protection locked="0"/>
    </xf>
    <xf numFmtId="9" fontId="21" fillId="5" borderId="5" xfId="1" applyFont="1" applyFill="1" applyBorder="1" applyAlignment="1" applyProtection="1">
      <alignment horizontal="center" vertical="center"/>
      <protection locked="0"/>
    </xf>
    <xf numFmtId="0" fontId="15" fillId="5" borderId="3" xfId="0" applyFont="1" applyFill="1" applyBorder="1" applyAlignment="1" applyProtection="1">
      <alignment horizontal="center" vertical="center"/>
      <protection locked="0"/>
    </xf>
    <xf numFmtId="0" fontId="15" fillId="5" borderId="4" xfId="0" applyFont="1" applyFill="1" applyBorder="1" applyAlignment="1" applyProtection="1">
      <alignment horizontal="center" vertical="center"/>
      <protection locked="0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left" vertical="center"/>
    </xf>
    <xf numFmtId="167" fontId="21" fillId="5" borderId="3" xfId="0" applyNumberFormat="1" applyFont="1" applyFill="1" applyBorder="1" applyAlignment="1" applyProtection="1">
      <alignment horizontal="center" vertical="center"/>
      <protection locked="0"/>
    </xf>
    <xf numFmtId="167" fontId="21" fillId="5" borderId="4" xfId="0" applyNumberFormat="1" applyFont="1" applyFill="1" applyBorder="1" applyAlignment="1" applyProtection="1">
      <alignment horizontal="center" vertical="center"/>
      <protection locked="0"/>
    </xf>
    <xf numFmtId="167" fontId="21" fillId="5" borderId="5" xfId="0" applyNumberFormat="1" applyFont="1" applyFill="1" applyBorder="1" applyAlignment="1" applyProtection="1">
      <alignment horizontal="center" vertical="center"/>
      <protection locked="0"/>
    </xf>
    <xf numFmtId="167" fontId="21" fillId="5" borderId="3" xfId="2" applyNumberFormat="1" applyFont="1" applyFill="1" applyBorder="1" applyAlignment="1" applyProtection="1">
      <alignment horizontal="center" vertical="center"/>
      <protection locked="0"/>
    </xf>
    <xf numFmtId="167" fontId="21" fillId="5" borderId="4" xfId="2" applyNumberFormat="1" applyFont="1" applyFill="1" applyBorder="1" applyAlignment="1" applyProtection="1">
      <alignment horizontal="center" vertical="center"/>
      <protection locked="0"/>
    </xf>
    <xf numFmtId="167" fontId="21" fillId="5" borderId="5" xfId="2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8" fillId="0" borderId="0" xfId="0" applyFont="1" applyAlignment="1">
      <alignment horizontal="left"/>
    </xf>
    <xf numFmtId="2" fontId="21" fillId="5" borderId="3" xfId="0" applyNumberFormat="1" applyFont="1" applyFill="1" applyBorder="1" applyAlignment="1" applyProtection="1">
      <alignment horizontal="center" vertical="center"/>
      <protection locked="0"/>
    </xf>
    <xf numFmtId="2" fontId="21" fillId="5" borderId="4" xfId="0" applyNumberFormat="1" applyFont="1" applyFill="1" applyBorder="1" applyAlignment="1" applyProtection="1">
      <alignment horizontal="center" vertical="center"/>
      <protection locked="0"/>
    </xf>
    <xf numFmtId="2" fontId="21" fillId="5" borderId="5" xfId="0" applyNumberFormat="1" applyFont="1" applyFill="1" applyBorder="1" applyAlignment="1" applyProtection="1">
      <alignment horizontal="center" vertical="center"/>
      <protection locked="0"/>
    </xf>
    <xf numFmtId="0" fontId="22" fillId="5" borderId="3" xfId="0" applyFont="1" applyFill="1" applyBorder="1" applyAlignment="1" applyProtection="1">
      <alignment horizontal="center" vertical="center"/>
      <protection locked="0"/>
    </xf>
    <xf numFmtId="0" fontId="22" fillId="5" borderId="4" xfId="0" applyFont="1" applyFill="1" applyBorder="1" applyAlignment="1" applyProtection="1">
      <alignment horizontal="center" vertical="center"/>
      <protection locked="0"/>
    </xf>
    <xf numFmtId="0" fontId="22" fillId="5" borderId="5" xfId="0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9" fillId="3" borderId="0" xfId="0" applyFont="1" applyFill="1" applyAlignment="1">
      <alignment horizontal="center" vertical="center"/>
    </xf>
  </cellXfs>
  <cellStyles count="3">
    <cellStyle name="Monétaire" xfId="2" builtinId="4"/>
    <cellStyle name="Normal" xfId="0" builtinId="0"/>
    <cellStyle name="Pourcentage" xfId="1" builtinId="5"/>
  </cellStyles>
  <dxfs count="53"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  <color rgb="FF002060"/>
      </font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/>
        <i val="0"/>
        <color rgb="FF002060"/>
      </font>
      <fill>
        <patternFill>
          <bgColor theme="7"/>
        </patternFill>
      </fill>
      <border>
        <top style="thin">
          <color auto="1"/>
        </top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</border>
    </dxf>
    <dxf>
      <font>
        <b/>
        <i val="0"/>
        <color rgb="FF002060"/>
      </font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7"/>
        </patternFill>
      </fill>
    </dxf>
    <dxf>
      <border>
        <left style="thin">
          <color auto="1"/>
        </left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rgb="FF002060"/>
      </font>
      <fill>
        <patternFill>
          <bgColor theme="8" tint="0.39994506668294322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microsoft.com/office/2022/10/relationships/richValueRel" Target="richData/richValueRel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3</xdr:row>
          <xdr:rowOff>57150</xdr:rowOff>
        </xdr:from>
        <xdr:to>
          <xdr:col>7</xdr:col>
          <xdr:colOff>123825</xdr:colOff>
          <xdr:row>5</xdr:row>
          <xdr:rowOff>0</xdr:rowOff>
        </xdr:to>
        <xdr:sp macro="" textlink="">
          <xdr:nvSpPr>
            <xdr:cNvPr id="1025" name="Check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U61"/>
  <sheetViews>
    <sheetView showGridLines="0" tabSelected="1" workbookViewId="0">
      <selection activeCell="O19" sqref="O19:Q19"/>
    </sheetView>
  </sheetViews>
  <sheetFormatPr baseColWidth="10" defaultRowHeight="15"/>
  <cols>
    <col min="1" max="1" width="3.5703125" customWidth="1"/>
    <col min="2" max="2" width="35.7109375" customWidth="1"/>
    <col min="3" max="3" width="3.140625" customWidth="1"/>
    <col min="4" max="8" width="12.7109375" customWidth="1"/>
    <col min="9" max="9" width="15.7109375" customWidth="1"/>
    <col min="10" max="10" width="4.42578125" customWidth="1"/>
    <col min="11" max="11" width="35.7109375" customWidth="1"/>
    <col min="12" max="16" width="12.7109375" customWidth="1"/>
    <col min="17" max="17" width="15.7109375" customWidth="1"/>
    <col min="18" max="18" width="6.7109375" customWidth="1"/>
    <col min="19" max="19" width="27" customWidth="1"/>
  </cols>
  <sheetData>
    <row r="2" spans="2:21" ht="18" customHeight="1">
      <c r="B2" s="93" t="e" vm="1">
        <v>#VALUE!</v>
      </c>
      <c r="C2" s="1"/>
      <c r="D2" s="92" t="s">
        <v>207</v>
      </c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51"/>
      <c r="S2" s="47"/>
      <c r="T2" s="47"/>
      <c r="U2" s="47"/>
    </row>
    <row r="3" spans="2:21" ht="18" customHeight="1">
      <c r="B3" s="93"/>
      <c r="C3" s="1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51"/>
      <c r="S3" s="47"/>
      <c r="T3" s="47"/>
      <c r="U3" s="47"/>
    </row>
    <row r="4" spans="2:21" ht="18" customHeight="1">
      <c r="B4" s="93"/>
      <c r="C4" s="1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51"/>
      <c r="S4" s="47"/>
      <c r="T4" s="47"/>
      <c r="U4" s="47"/>
    </row>
    <row r="5" spans="2:21" ht="18" customHeight="1">
      <c r="B5" s="93"/>
      <c r="C5" s="1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51"/>
      <c r="S5" s="47"/>
      <c r="T5" s="47"/>
      <c r="U5" s="47"/>
    </row>
    <row r="6" spans="2:21" ht="18" customHeight="1">
      <c r="B6" s="93"/>
      <c r="C6" s="1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51"/>
      <c r="S6" s="47"/>
      <c r="T6" s="47"/>
      <c r="U6" s="47"/>
    </row>
    <row r="8" spans="2:21" ht="15.75" thickBot="1"/>
    <row r="9" spans="2:21" ht="24.95" customHeight="1" thickBot="1">
      <c r="D9" s="101" t="s">
        <v>122</v>
      </c>
      <c r="E9" s="101"/>
      <c r="F9" s="101"/>
      <c r="G9" s="101"/>
      <c r="H9" s="101"/>
      <c r="I9" s="106"/>
      <c r="J9" s="107"/>
      <c r="K9" s="107"/>
      <c r="L9" s="107"/>
      <c r="M9" s="107"/>
      <c r="N9" s="107"/>
      <c r="O9" s="107"/>
      <c r="P9" s="107"/>
      <c r="Q9" s="108"/>
      <c r="R9" s="50">
        <f>IF(CAS=0,0,2)</f>
        <v>0</v>
      </c>
      <c r="S9" s="52" t="str">
        <f>IF(R9=0,"Rubrique à compléter","")</f>
        <v>Rubrique à compléter</v>
      </c>
    </row>
    <row r="10" spans="2:21" ht="47.25" customHeight="1" thickBot="1">
      <c r="D10" s="117" t="str">
        <f>Feuil3!I17</f>
        <v/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</row>
    <row r="11" spans="2:21" ht="24.95" customHeight="1" thickBot="1">
      <c r="B11" s="54"/>
      <c r="C11" s="54"/>
      <c r="D11" s="109" t="str">
        <f>Feuil3!A16</f>
        <v>Montant de la Réduction d'impôt appliquée</v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13"/>
      <c r="P11" s="114"/>
      <c r="Q11" s="115"/>
      <c r="R11" s="50">
        <f>Feuil3!L1</f>
        <v>0</v>
      </c>
      <c r="S11" s="52" t="str">
        <f>Feuil3!M1</f>
        <v>Rubrique à compléter</v>
      </c>
    </row>
    <row r="12" spans="2:21" ht="18.75" thickBot="1">
      <c r="B12" s="54"/>
      <c r="C12" s="54"/>
      <c r="D12" s="54"/>
      <c r="E12" s="55"/>
      <c r="F12" s="55"/>
      <c r="G12" s="55"/>
      <c r="H12" s="55"/>
      <c r="I12" s="54"/>
      <c r="J12" s="54"/>
      <c r="K12" s="54"/>
      <c r="L12" s="54"/>
      <c r="M12" s="54"/>
      <c r="N12" s="54"/>
      <c r="O12" s="54"/>
      <c r="P12" s="54"/>
      <c r="Q12" s="54"/>
      <c r="R12" s="50"/>
      <c r="S12" s="52"/>
    </row>
    <row r="13" spans="2:21" ht="24.95" customHeight="1" thickBot="1">
      <c r="B13" s="54"/>
      <c r="C13" s="54"/>
      <c r="D13" s="56" t="str">
        <f>IF(OR(Feuil3!E1=3,Feuil3!E1=6,Feuil3!E1=8,Feuil3!E1=11),Feuil3!A19,Feuil3!A18)</f>
        <v>Revenus soumis à cotisations sociales (APRÈS application de la Réduction d'impôt OGA)</v>
      </c>
      <c r="E13" s="54"/>
      <c r="F13" s="56"/>
      <c r="G13" s="56"/>
      <c r="H13" s="56"/>
      <c r="I13" s="84"/>
      <c r="J13" s="84"/>
      <c r="K13" s="84"/>
      <c r="L13" s="84"/>
      <c r="M13" s="84"/>
      <c r="N13" s="84"/>
      <c r="O13" s="113"/>
      <c r="P13" s="114"/>
      <c r="Q13" s="115"/>
      <c r="R13" s="50">
        <f>Feuil3!L2</f>
        <v>0</v>
      </c>
      <c r="S13" s="52" t="str">
        <f>Feuil3!M2</f>
        <v>Rubrique à compléter</v>
      </c>
    </row>
    <row r="14" spans="2:21" ht="18.75" thickBot="1">
      <c r="B14" s="54"/>
      <c r="C14" s="54"/>
      <c r="D14" s="118" t="str">
        <f>Feuil3!I22</f>
        <v/>
      </c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54"/>
      <c r="P14" s="54"/>
      <c r="Q14" s="54"/>
      <c r="R14" s="50"/>
      <c r="S14" s="52"/>
    </row>
    <row r="15" spans="2:21" ht="24.95" customHeight="1" thickBot="1">
      <c r="B15" s="54"/>
      <c r="C15" s="54"/>
      <c r="D15" s="102" t="str">
        <f>IF(OR(Feuil3!E1=3,Feuil3!E1=6,Feuil3!E1=8,Feuil3!E1=11),Feuil3!A21,Feuil3!A22)</f>
        <v>… Non concerné …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10"/>
      <c r="P15" s="111"/>
      <c r="Q15" s="112"/>
      <c r="R15" s="50">
        <f>Feuil3!L3</f>
        <v>2</v>
      </c>
      <c r="S15" s="52" t="str">
        <f>Feuil3!M3</f>
        <v/>
      </c>
    </row>
    <row r="16" spans="2:21" ht="18.75" thickBot="1">
      <c r="B16" s="54"/>
      <c r="C16" s="54"/>
      <c r="D16" s="58"/>
      <c r="E16" s="58"/>
      <c r="F16" s="58"/>
      <c r="G16" s="58"/>
      <c r="H16" s="58"/>
      <c r="I16" s="54"/>
      <c r="J16" s="54"/>
      <c r="K16" s="54"/>
      <c r="L16" s="54"/>
      <c r="M16" s="54"/>
      <c r="N16" s="54"/>
      <c r="O16" s="54"/>
      <c r="P16" s="54"/>
      <c r="Q16" s="54"/>
      <c r="R16" s="50"/>
      <c r="S16" s="52"/>
    </row>
    <row r="17" spans="2:19" ht="24.95" customHeight="1" thickBot="1">
      <c r="B17" s="54"/>
      <c r="C17" s="54"/>
      <c r="D17" s="102" t="str">
        <f>Feuil3!A24</f>
        <v>CSP Obligatoires</v>
      </c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13"/>
      <c r="P17" s="114"/>
      <c r="Q17" s="115"/>
      <c r="R17" s="50">
        <f>Feuil3!L4</f>
        <v>0</v>
      </c>
      <c r="S17" s="52" t="str">
        <f>Feuil3!M4</f>
        <v>Rubrique à compléter</v>
      </c>
    </row>
    <row r="18" spans="2:19" ht="15" customHeight="1" thickBot="1"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0"/>
      <c r="S18" s="52"/>
    </row>
    <row r="19" spans="2:19" ht="24.95" customHeight="1" thickBot="1">
      <c r="B19" s="54"/>
      <c r="C19" s="54"/>
      <c r="D19" s="102" t="str">
        <f>IF(Feuil3!E1=Feuil3!G3,Feuil3!A26,Feuil3!A27)</f>
        <v>… Non concerné …</v>
      </c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19"/>
      <c r="P19" s="120"/>
      <c r="Q19" s="121"/>
      <c r="R19" s="50">
        <f>Feuil3!L5</f>
        <v>2</v>
      </c>
      <c r="S19" s="52" t="str">
        <f>Feuil3!M5</f>
        <v/>
      </c>
    </row>
    <row r="20" spans="2:19" ht="15" customHeight="1" thickBot="1"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0"/>
      <c r="S20" s="52"/>
    </row>
    <row r="21" spans="2:19" ht="24.95" customHeight="1" thickBot="1">
      <c r="B21" s="54"/>
      <c r="C21" s="54"/>
      <c r="D21" s="102" t="str">
        <f>IF(OR(Feuil3!E1=3,Feuil3!E1=6,Feuil3!E1=8,Feuil3!E1=11,Feuil3!E1=15),Feuil3!A29,Feuil3!A30)</f>
        <v>… Non concerné …</v>
      </c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22"/>
      <c r="P21" s="123"/>
      <c r="Q21" s="124"/>
      <c r="R21" s="50">
        <f>Feuil3!L6</f>
        <v>2</v>
      </c>
      <c r="S21" s="52" t="str">
        <f>Feuil3!M6</f>
        <v/>
      </c>
    </row>
    <row r="22" spans="2:19" ht="15" customHeight="1" thickBot="1"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0"/>
      <c r="S22" s="52"/>
    </row>
    <row r="23" spans="2:19" ht="24.95" customHeight="1" thickBot="1">
      <c r="B23" s="54"/>
      <c r="C23" s="54"/>
      <c r="D23" s="102" t="str">
        <f>Feuil3!A32</f>
        <v xml:space="preserve">Taux marginal d'imposition à l'IR </v>
      </c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3"/>
      <c r="P23" s="104"/>
      <c r="Q23" s="105"/>
      <c r="R23" s="50">
        <f>Feuil3!L7</f>
        <v>0</v>
      </c>
      <c r="S23" s="52" t="str">
        <f>Feuil3!M7</f>
        <v>Rubrique à compléter</v>
      </c>
    </row>
    <row r="24" spans="2:19" ht="9" customHeight="1" thickBot="1">
      <c r="B24" s="54"/>
      <c r="C24" s="54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89"/>
      <c r="P24" s="89"/>
      <c r="Q24" s="89"/>
      <c r="R24" s="50"/>
      <c r="S24" s="52"/>
    </row>
    <row r="25" spans="2:19" ht="24.75" customHeight="1" thickBot="1">
      <c r="B25" s="54"/>
      <c r="C25" s="54"/>
      <c r="D25" s="102" t="str">
        <f>IF(CAS=14,"Avocats : nb d'années d'activité :","… Non concerné ...")</f>
        <v>… Non concerné ...</v>
      </c>
      <c r="E25" s="102"/>
      <c r="F25" s="102"/>
      <c r="G25" s="103"/>
      <c r="H25" s="104"/>
      <c r="I25" s="105"/>
      <c r="J25" s="50">
        <f>Feuil3!L8</f>
        <v>2</v>
      </c>
      <c r="K25" s="116" t="str">
        <f>IF(CAS=14,"Avocats : Classe régime complémentaire CNBF :","… Non concerné ...")</f>
        <v>… Non concerné ...</v>
      </c>
      <c r="L25" s="116"/>
      <c r="M25" s="116"/>
      <c r="N25" s="116"/>
      <c r="O25" s="103"/>
      <c r="P25" s="104"/>
      <c r="Q25" s="105"/>
      <c r="R25" s="50">
        <f>Feuil3!L9</f>
        <v>2</v>
      </c>
      <c r="S25" s="52"/>
    </row>
    <row r="26" spans="2:19" ht="15" customHeight="1" thickBot="1"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</row>
    <row r="27" spans="2:19" ht="15" customHeight="1" thickTop="1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</row>
    <row r="28" spans="2:19" ht="15" customHeight="1"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</row>
    <row r="29" spans="2:19" ht="30.75" customHeight="1">
      <c r="B29" s="100" t="str">
        <f>IF(Feuil3!K10=0,"","CALCUL DU GAIN NET LIÉ À L'APPLICATION DE LA RÉDUCTION D'IMPÔT POUR FRAIS DE COMPTABILITÉ ET D'ADHÉSION OGA")</f>
        <v/>
      </c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</row>
    <row r="30" spans="2:19" ht="16.5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</row>
    <row r="31" spans="2:19" ht="30" customHeight="1">
      <c r="B31" s="54"/>
      <c r="C31" s="54"/>
      <c r="D31" s="99" t="str">
        <f>IF(Feuil3!K10=0,"","GAIN en matière d'IR (= Réduction d'impôt appliquée) :")</f>
        <v/>
      </c>
      <c r="E31" s="99"/>
      <c r="F31" s="99"/>
      <c r="G31" s="99"/>
      <c r="H31" s="99"/>
      <c r="I31" s="99"/>
      <c r="J31" s="99"/>
      <c r="K31" s="99"/>
      <c r="L31" s="96" t="str">
        <f>IF(Feuil3!K10=0,"",O11)</f>
        <v/>
      </c>
      <c r="M31" s="96"/>
      <c r="N31" s="96"/>
      <c r="O31" s="54"/>
      <c r="P31" s="54"/>
      <c r="Q31" s="54"/>
    </row>
    <row r="32" spans="2:19" ht="30" customHeight="1">
      <c r="B32" s="60" t="str">
        <f>IF(Feuil3!$K$10=0,"","-")</f>
        <v/>
      </c>
      <c r="C32" s="60"/>
      <c r="D32" s="99" t="str">
        <f>IF(Feuil3!K10=0,"","Surcoût d'IR lié à l'application de la réduction d'impôt :")</f>
        <v/>
      </c>
      <c r="E32" s="99"/>
      <c r="F32" s="99"/>
      <c r="G32" s="99"/>
      <c r="H32" s="99"/>
      <c r="I32" s="99"/>
      <c r="J32" s="99"/>
      <c r="K32" s="99"/>
      <c r="L32" s="96" t="str">
        <f>IF(Feuil3!$K$10=0,"",-'Chiffres '!L1)</f>
        <v/>
      </c>
      <c r="M32" s="96"/>
      <c r="N32" s="96"/>
      <c r="O32" s="61" t="str">
        <f>IF(Feuil3!K10=0,"","(1)")</f>
        <v/>
      </c>
      <c r="P32" s="54"/>
      <c r="Q32" s="54"/>
    </row>
    <row r="33" spans="2:18" ht="30" customHeight="1">
      <c r="B33" s="60" t="str">
        <f>IF(Feuil3!$K$10=0,"","-")</f>
        <v/>
      </c>
      <c r="C33" s="60"/>
      <c r="D33" s="99" t="str">
        <f>IF(Feuil3!K10=0,"","Surcoût de charges sociales lié à l'application de la réduction d'impôt :")</f>
        <v/>
      </c>
      <c r="E33" s="99"/>
      <c r="F33" s="99"/>
      <c r="G33" s="99"/>
      <c r="H33" s="99"/>
      <c r="I33" s="99"/>
      <c r="J33" s="99"/>
      <c r="K33" s="99"/>
      <c r="L33" s="96" t="str">
        <f>IF(Feuil3!$K$10=0,"",TOTAUX!C330-TOTAUX!K330)</f>
        <v/>
      </c>
      <c r="M33" s="96"/>
      <c r="N33" s="96"/>
      <c r="O33" s="61" t="str">
        <f>IF(Feuil3!K10=0,"","(2)")</f>
        <v/>
      </c>
      <c r="P33" s="54"/>
      <c r="Q33" s="54"/>
    </row>
    <row r="34" spans="2:18" ht="29.25" customHeight="1">
      <c r="B34" s="60" t="str">
        <f>IF(Feuil3!$K$10=0,"","=")</f>
        <v/>
      </c>
      <c r="C34" s="60"/>
      <c r="D34" s="97" t="str">
        <f>IF(Feuil3!$K$10=0,"",IF(L34&gt;0,"GAIN NET suite à l'application de la réduction d'impôt :","PERTE NETTE suite à l'application de la réduction d'impôt :"))</f>
        <v/>
      </c>
      <c r="E34" s="97"/>
      <c r="F34" s="97"/>
      <c r="G34" s="97"/>
      <c r="H34" s="97"/>
      <c r="I34" s="97"/>
      <c r="J34" s="97"/>
      <c r="K34" s="97"/>
      <c r="L34" s="96" t="str">
        <f>IF(Feuil3!$K$10=0,"",SUM(L31:N33))</f>
        <v/>
      </c>
      <c r="M34" s="96"/>
      <c r="N34" s="96"/>
      <c r="O34" s="54"/>
      <c r="P34" s="54"/>
      <c r="Q34" s="54"/>
    </row>
    <row r="35" spans="2:18" ht="16.5"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</row>
    <row r="36" spans="2:18" s="53" customFormat="1" ht="20.100000000000001" customHeight="1">
      <c r="B36" s="62" t="str">
        <f>O32</f>
        <v/>
      </c>
      <c r="C36" s="62"/>
      <c r="D36" s="94" t="str">
        <f>IF(Feuil3!K10=0,"",TOTAUX!B1&amp;TOTAUX!C1)</f>
        <v/>
      </c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63"/>
      <c r="P36" s="63"/>
      <c r="Q36" s="63"/>
    </row>
    <row r="38" spans="2:18" ht="20.100000000000001" customHeight="1">
      <c r="B38" s="62" t="str">
        <f>O33</f>
        <v/>
      </c>
      <c r="C38" s="62"/>
      <c r="D38" s="94" t="str">
        <f>IF(Feuil3!K10=0,"",TOTAUX!B2&amp;TOTAUX!C2)</f>
        <v/>
      </c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</row>
    <row r="39" spans="2:18" ht="32.25" customHeight="1">
      <c r="D39" s="98" t="str">
        <f>Feuil3!I19</f>
        <v/>
      </c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</row>
    <row r="40" spans="2:18" ht="28.5" customHeight="1">
      <c r="B40" s="95" t="str">
        <f>IF(Feuil3!$K$10=0,"","DÉTAIL DES CHARGES SOCIALES SANS APPLICATION RIOGA")</f>
        <v/>
      </c>
      <c r="C40" s="95"/>
      <c r="D40" s="95"/>
      <c r="E40" s="95"/>
      <c r="F40" s="95"/>
      <c r="G40" s="95"/>
      <c r="H40" s="95"/>
      <c r="I40" s="79" t="str">
        <f>IF(Feuil3!$K$10=0,"",TOTAUX!C330)</f>
        <v/>
      </c>
      <c r="J40" s="74"/>
      <c r="K40" s="95" t="str">
        <f>IF(Feuil3!$K$10=0,"","DÉTAIL DES CHARGES SOCIALES AVEC APPLICATION RIOGA")</f>
        <v/>
      </c>
      <c r="L40" s="95"/>
      <c r="M40" s="95"/>
      <c r="N40" s="95"/>
      <c r="O40" s="95"/>
      <c r="P40" s="95"/>
      <c r="Q40" s="79" t="str">
        <f>IF(Feuil3!$K$10=0,"",TOTAUX!K330)</f>
        <v/>
      </c>
      <c r="R40" s="74"/>
    </row>
    <row r="41" spans="2:18" ht="21.95" customHeight="1">
      <c r="B41" s="74"/>
      <c r="C41" s="74"/>
      <c r="D41" s="71" t="str">
        <f>IF(Feuil3!$K$10=0,"","ASSIETTE")</f>
        <v/>
      </c>
      <c r="E41" s="71" t="str">
        <f>IF(Feuil3!$K$10=0,"","TAUX")</f>
        <v/>
      </c>
      <c r="F41" s="71" t="str">
        <f>IF(Feuil3!$K$10=0,"","COTISATION")</f>
        <v/>
      </c>
      <c r="G41" s="71" t="str">
        <f>IF(Feuil3!$K$10=0,"","EXO")</f>
        <v/>
      </c>
      <c r="H41" s="71" t="str">
        <f>IF(Feuil3!$K$10=0,"","MONTANT")</f>
        <v/>
      </c>
      <c r="I41" s="71" t="str">
        <f>IF(Feuil3!$K$10=0,"","COTIS. NETTE")</f>
        <v/>
      </c>
      <c r="J41" s="74"/>
      <c r="K41" s="74"/>
      <c r="L41" s="71" t="str">
        <f>IF(Feuil3!$K$10=0,"","ASSIETTE")</f>
        <v/>
      </c>
      <c r="M41" s="71" t="str">
        <f>IF(Feuil3!$K$10=0,"","TAUX")</f>
        <v/>
      </c>
      <c r="N41" s="71" t="str">
        <f>IF(Feuil3!$K$10=0,"","COTISATION")</f>
        <v/>
      </c>
      <c r="O41" s="71" t="str">
        <f>IF(Feuil3!$K$10=0,"","EXO")</f>
        <v/>
      </c>
      <c r="P41" s="71" t="str">
        <f>IF(Feuil3!$K$10=0,"","MONTANT")</f>
        <v/>
      </c>
      <c r="Q41" s="71" t="str">
        <f>IF(Feuil3!$K$10=0,"","COTIS. NETTE")</f>
        <v/>
      </c>
      <c r="R41" s="74"/>
    </row>
    <row r="42" spans="2:18" ht="20.100000000000001" customHeight="1">
      <c r="B42" s="74" t="str">
        <f>TOTAUX!C4</f>
        <v/>
      </c>
      <c r="C42" s="74"/>
      <c r="D42" s="75" t="str">
        <f>TOTAUX!D4</f>
        <v/>
      </c>
      <c r="E42" s="76" t="str">
        <f>TOTAUX!E4</f>
        <v/>
      </c>
      <c r="F42" s="77" t="str">
        <f>TOTAUX!F4</f>
        <v/>
      </c>
      <c r="G42" s="72" t="str">
        <f>TOTAUX!G4</f>
        <v/>
      </c>
      <c r="H42" s="82" t="str">
        <f>TOTAUX!H4</f>
        <v/>
      </c>
      <c r="I42" s="78" t="str">
        <f>TOTAUX!I4</f>
        <v/>
      </c>
      <c r="J42" s="80" t="str">
        <f>TOTAUX!J4</f>
        <v/>
      </c>
      <c r="K42" s="74" t="str">
        <f>TOTAUX!K4</f>
        <v/>
      </c>
      <c r="L42" s="75" t="str">
        <f>TOTAUX!L4</f>
        <v/>
      </c>
      <c r="M42" s="76" t="str">
        <f>TOTAUX!M4</f>
        <v/>
      </c>
      <c r="N42" s="77" t="str">
        <f>TOTAUX!N4</f>
        <v/>
      </c>
      <c r="O42" s="72" t="str">
        <f>TOTAUX!O4</f>
        <v/>
      </c>
      <c r="P42" s="73" t="str">
        <f>TOTAUX!P4</f>
        <v/>
      </c>
      <c r="Q42" s="78" t="str">
        <f>TOTAUX!Q4</f>
        <v/>
      </c>
      <c r="R42" s="80" t="str">
        <f>TOTAUX!R4</f>
        <v/>
      </c>
    </row>
    <row r="43" spans="2:18" ht="20.100000000000001" customHeight="1">
      <c r="B43" s="74" t="str">
        <f>TOTAUX!C5</f>
        <v/>
      </c>
      <c r="C43" s="74"/>
      <c r="D43" s="75" t="str">
        <f>TOTAUX!D5</f>
        <v/>
      </c>
      <c r="E43" s="76" t="str">
        <f>TOTAUX!E5</f>
        <v/>
      </c>
      <c r="F43" s="77" t="str">
        <f>TOTAUX!F5</f>
        <v/>
      </c>
      <c r="G43" s="72" t="str">
        <f>TOTAUX!G5</f>
        <v/>
      </c>
      <c r="H43" s="83" t="str">
        <f>TOTAUX!H5</f>
        <v/>
      </c>
      <c r="I43" s="78" t="str">
        <f>TOTAUX!I5</f>
        <v/>
      </c>
      <c r="J43" s="80" t="str">
        <f>TOTAUX!J5</f>
        <v/>
      </c>
      <c r="K43" s="74" t="str">
        <f>TOTAUX!K5</f>
        <v/>
      </c>
      <c r="L43" s="75" t="str">
        <f>TOTAUX!L5</f>
        <v/>
      </c>
      <c r="M43" s="76" t="str">
        <f>TOTAUX!M5</f>
        <v/>
      </c>
      <c r="N43" s="77" t="str">
        <f>TOTAUX!N5</f>
        <v/>
      </c>
      <c r="O43" s="72" t="str">
        <f>TOTAUX!O5</f>
        <v/>
      </c>
      <c r="P43" s="70" t="str">
        <f>TOTAUX!P5</f>
        <v/>
      </c>
      <c r="Q43" s="78" t="str">
        <f>TOTAUX!Q5</f>
        <v/>
      </c>
      <c r="R43" s="80" t="str">
        <f>TOTAUX!R5</f>
        <v/>
      </c>
    </row>
    <row r="44" spans="2:18" ht="20.100000000000001" customHeight="1">
      <c r="B44" s="74" t="str">
        <f>TOTAUX!C6</f>
        <v/>
      </c>
      <c r="C44" s="74"/>
      <c r="D44" s="75" t="str">
        <f>TOTAUX!D6</f>
        <v/>
      </c>
      <c r="E44" s="76" t="str">
        <f>TOTAUX!E6</f>
        <v/>
      </c>
      <c r="F44" s="77" t="str">
        <f>TOTAUX!F6</f>
        <v/>
      </c>
      <c r="G44" s="72" t="str">
        <f>TOTAUX!G6</f>
        <v/>
      </c>
      <c r="H44" s="83" t="str">
        <f>TOTAUX!H6</f>
        <v/>
      </c>
      <c r="I44" s="78" t="str">
        <f>TOTAUX!I6</f>
        <v/>
      </c>
      <c r="J44" s="80" t="str">
        <f>TOTAUX!J6</f>
        <v/>
      </c>
      <c r="K44" s="74" t="str">
        <f>TOTAUX!K6</f>
        <v/>
      </c>
      <c r="L44" s="75" t="str">
        <f>TOTAUX!L6</f>
        <v/>
      </c>
      <c r="M44" s="76" t="str">
        <f>TOTAUX!M6</f>
        <v/>
      </c>
      <c r="N44" s="77" t="str">
        <f>TOTAUX!N6</f>
        <v/>
      </c>
      <c r="O44" s="72" t="str">
        <f>TOTAUX!O6</f>
        <v/>
      </c>
      <c r="P44" s="70" t="str">
        <f>TOTAUX!P6</f>
        <v/>
      </c>
      <c r="Q44" s="78" t="str">
        <f>TOTAUX!Q6</f>
        <v/>
      </c>
      <c r="R44" s="80" t="str">
        <f>TOTAUX!R6</f>
        <v/>
      </c>
    </row>
    <row r="45" spans="2:18" ht="20.100000000000001" customHeight="1">
      <c r="B45" s="74" t="str">
        <f>TOTAUX!C7</f>
        <v/>
      </c>
      <c r="C45" s="74"/>
      <c r="D45" s="75" t="str">
        <f>TOTAUX!D7</f>
        <v/>
      </c>
      <c r="E45" s="76" t="str">
        <f>TOTAUX!E7</f>
        <v/>
      </c>
      <c r="F45" s="77" t="str">
        <f>TOTAUX!F7</f>
        <v/>
      </c>
      <c r="G45" s="72" t="str">
        <f>TOTAUX!G7</f>
        <v/>
      </c>
      <c r="H45" s="83" t="str">
        <f>TOTAUX!H7</f>
        <v/>
      </c>
      <c r="I45" s="78" t="str">
        <f>TOTAUX!I7</f>
        <v/>
      </c>
      <c r="J45" s="80" t="str">
        <f>TOTAUX!J7</f>
        <v/>
      </c>
      <c r="K45" s="74" t="str">
        <f>TOTAUX!K7</f>
        <v/>
      </c>
      <c r="L45" s="75" t="str">
        <f>TOTAUX!L7</f>
        <v/>
      </c>
      <c r="M45" s="76" t="str">
        <f>TOTAUX!M7</f>
        <v/>
      </c>
      <c r="N45" s="77" t="str">
        <f>TOTAUX!N7</f>
        <v/>
      </c>
      <c r="O45" s="72" t="str">
        <f>TOTAUX!O7</f>
        <v/>
      </c>
      <c r="P45" s="70" t="str">
        <f>TOTAUX!P7</f>
        <v/>
      </c>
      <c r="Q45" s="78" t="str">
        <f>TOTAUX!Q7</f>
        <v/>
      </c>
      <c r="R45" s="80" t="str">
        <f>TOTAUX!R7</f>
        <v/>
      </c>
    </row>
    <row r="46" spans="2:18" ht="20.100000000000001" customHeight="1">
      <c r="B46" s="74" t="str">
        <f>TOTAUX!C8</f>
        <v/>
      </c>
      <c r="C46" s="74"/>
      <c r="D46" s="75" t="str">
        <f>TOTAUX!D8</f>
        <v/>
      </c>
      <c r="E46" s="76" t="str">
        <f>TOTAUX!E8</f>
        <v/>
      </c>
      <c r="F46" s="77" t="str">
        <f>TOTAUX!F8</f>
        <v/>
      </c>
      <c r="G46" s="72" t="str">
        <f>TOTAUX!G8</f>
        <v/>
      </c>
      <c r="H46" s="83" t="str">
        <f>TOTAUX!H8</f>
        <v/>
      </c>
      <c r="I46" s="78" t="str">
        <f>TOTAUX!I8</f>
        <v/>
      </c>
      <c r="J46" s="80" t="str">
        <f>TOTAUX!J8</f>
        <v/>
      </c>
      <c r="K46" s="74" t="str">
        <f>TOTAUX!K8</f>
        <v/>
      </c>
      <c r="L46" s="75" t="str">
        <f>TOTAUX!L8</f>
        <v/>
      </c>
      <c r="M46" s="76" t="str">
        <f>TOTAUX!M8</f>
        <v/>
      </c>
      <c r="N46" s="77" t="str">
        <f>TOTAUX!N8</f>
        <v/>
      </c>
      <c r="O46" s="72" t="str">
        <f>TOTAUX!O8</f>
        <v/>
      </c>
      <c r="P46" s="70" t="str">
        <f>TOTAUX!P8</f>
        <v/>
      </c>
      <c r="Q46" s="78" t="str">
        <f>TOTAUX!Q8</f>
        <v/>
      </c>
      <c r="R46" s="80" t="str">
        <f>TOTAUX!R8</f>
        <v/>
      </c>
    </row>
    <row r="47" spans="2:18" ht="20.100000000000001" customHeight="1">
      <c r="B47" s="74" t="str">
        <f>TOTAUX!C9</f>
        <v/>
      </c>
      <c r="C47" s="74"/>
      <c r="D47" s="75" t="str">
        <f>TOTAUX!D9</f>
        <v/>
      </c>
      <c r="E47" s="76" t="str">
        <f>TOTAUX!E9</f>
        <v/>
      </c>
      <c r="F47" s="77" t="str">
        <f>TOTAUX!F9</f>
        <v/>
      </c>
      <c r="G47" s="72" t="str">
        <f>TOTAUX!G9</f>
        <v/>
      </c>
      <c r="H47" s="83" t="str">
        <f>TOTAUX!H9</f>
        <v/>
      </c>
      <c r="I47" s="78" t="str">
        <f>TOTAUX!I9</f>
        <v/>
      </c>
      <c r="J47" s="80" t="str">
        <f>TOTAUX!J9</f>
        <v/>
      </c>
      <c r="K47" s="74" t="str">
        <f>TOTAUX!K9</f>
        <v/>
      </c>
      <c r="L47" s="75" t="str">
        <f>TOTAUX!L9</f>
        <v/>
      </c>
      <c r="M47" s="76" t="str">
        <f>TOTAUX!M9</f>
        <v/>
      </c>
      <c r="N47" s="77" t="str">
        <f>TOTAUX!N9</f>
        <v/>
      </c>
      <c r="O47" s="72" t="str">
        <f>TOTAUX!O9</f>
        <v/>
      </c>
      <c r="P47" s="70" t="str">
        <f>TOTAUX!P9</f>
        <v/>
      </c>
      <c r="Q47" s="78" t="str">
        <f>TOTAUX!Q9</f>
        <v/>
      </c>
      <c r="R47" s="80" t="str">
        <f>TOTAUX!R9</f>
        <v/>
      </c>
    </row>
    <row r="48" spans="2:18" ht="20.100000000000001" customHeight="1">
      <c r="B48" s="74" t="str">
        <f>TOTAUX!C10</f>
        <v/>
      </c>
      <c r="C48" s="74"/>
      <c r="D48" s="75" t="str">
        <f>TOTAUX!D10</f>
        <v/>
      </c>
      <c r="E48" s="76" t="str">
        <f>TOTAUX!E10</f>
        <v/>
      </c>
      <c r="F48" s="77" t="str">
        <f>TOTAUX!F10</f>
        <v/>
      </c>
      <c r="G48" s="72" t="str">
        <f>TOTAUX!G10</f>
        <v/>
      </c>
      <c r="H48" s="83" t="str">
        <f>TOTAUX!H10</f>
        <v/>
      </c>
      <c r="I48" s="78" t="str">
        <f>TOTAUX!I10</f>
        <v/>
      </c>
      <c r="J48" s="80" t="str">
        <f>TOTAUX!J10</f>
        <v/>
      </c>
      <c r="K48" s="74" t="str">
        <f>TOTAUX!K10</f>
        <v/>
      </c>
      <c r="L48" s="75" t="str">
        <f>TOTAUX!L10</f>
        <v/>
      </c>
      <c r="M48" s="76" t="str">
        <f>TOTAUX!M10</f>
        <v/>
      </c>
      <c r="N48" s="77" t="str">
        <f>TOTAUX!N10</f>
        <v/>
      </c>
      <c r="O48" s="72" t="str">
        <f>TOTAUX!O10</f>
        <v/>
      </c>
      <c r="P48" s="70" t="str">
        <f>TOTAUX!P10</f>
        <v/>
      </c>
      <c r="Q48" s="78" t="str">
        <f>TOTAUX!Q10</f>
        <v/>
      </c>
      <c r="R48" s="80" t="str">
        <f>TOTAUX!R10</f>
        <v/>
      </c>
    </row>
    <row r="49" spans="2:18" ht="20.100000000000001" customHeight="1">
      <c r="B49" s="74" t="str">
        <f>TOTAUX!C11</f>
        <v/>
      </c>
      <c r="C49" s="74"/>
      <c r="D49" s="75" t="str">
        <f>TOTAUX!D11</f>
        <v/>
      </c>
      <c r="E49" s="76" t="str">
        <f>TOTAUX!E11</f>
        <v/>
      </c>
      <c r="F49" s="77" t="str">
        <f>TOTAUX!F11</f>
        <v/>
      </c>
      <c r="G49" s="72" t="str">
        <f>TOTAUX!G11</f>
        <v/>
      </c>
      <c r="H49" s="83" t="str">
        <f>TOTAUX!H11</f>
        <v/>
      </c>
      <c r="I49" s="78" t="str">
        <f>TOTAUX!I11</f>
        <v/>
      </c>
      <c r="J49" s="80" t="str">
        <f>TOTAUX!J11</f>
        <v/>
      </c>
      <c r="K49" s="74" t="str">
        <f>TOTAUX!K11</f>
        <v/>
      </c>
      <c r="L49" s="75" t="str">
        <f>TOTAUX!L11</f>
        <v/>
      </c>
      <c r="M49" s="76" t="str">
        <f>TOTAUX!M11</f>
        <v/>
      </c>
      <c r="N49" s="77" t="str">
        <f>TOTAUX!N11</f>
        <v/>
      </c>
      <c r="O49" s="72" t="str">
        <f>TOTAUX!O11</f>
        <v/>
      </c>
      <c r="P49" s="70" t="str">
        <f>TOTAUX!P11</f>
        <v/>
      </c>
      <c r="Q49" s="78" t="str">
        <f>TOTAUX!Q11</f>
        <v/>
      </c>
      <c r="R49" s="80" t="str">
        <f>TOTAUX!R11</f>
        <v/>
      </c>
    </row>
    <row r="50" spans="2:18" ht="20.100000000000001" customHeight="1">
      <c r="B50" s="74" t="str">
        <f>TOTAUX!C12</f>
        <v/>
      </c>
      <c r="C50" s="74"/>
      <c r="D50" s="75" t="str">
        <f>TOTAUX!D12</f>
        <v/>
      </c>
      <c r="E50" s="76" t="str">
        <f>TOTAUX!E12</f>
        <v/>
      </c>
      <c r="F50" s="77" t="str">
        <f>TOTAUX!F12</f>
        <v/>
      </c>
      <c r="G50" s="72" t="str">
        <f>TOTAUX!G12</f>
        <v/>
      </c>
      <c r="H50" s="83" t="str">
        <f>TOTAUX!H12</f>
        <v/>
      </c>
      <c r="I50" s="78" t="str">
        <f>TOTAUX!I12</f>
        <v/>
      </c>
      <c r="J50" s="80" t="str">
        <f>TOTAUX!J12</f>
        <v/>
      </c>
      <c r="K50" s="74" t="str">
        <f>TOTAUX!K12</f>
        <v/>
      </c>
      <c r="L50" s="75" t="str">
        <f>TOTAUX!L12</f>
        <v/>
      </c>
      <c r="M50" s="76" t="str">
        <f>TOTAUX!M12</f>
        <v/>
      </c>
      <c r="N50" s="77" t="str">
        <f>TOTAUX!N12</f>
        <v/>
      </c>
      <c r="O50" s="72" t="str">
        <f>TOTAUX!O12</f>
        <v/>
      </c>
      <c r="P50" s="70" t="str">
        <f>TOTAUX!P12</f>
        <v/>
      </c>
      <c r="Q50" s="78" t="str">
        <f>TOTAUX!Q12</f>
        <v/>
      </c>
      <c r="R50" s="80" t="str">
        <f>TOTAUX!R12</f>
        <v/>
      </c>
    </row>
    <row r="51" spans="2:18" ht="20.100000000000001" customHeight="1">
      <c r="B51" s="74" t="str">
        <f>TOTAUX!C13</f>
        <v/>
      </c>
      <c r="C51" s="74"/>
      <c r="D51" s="75" t="str">
        <f>TOTAUX!D13</f>
        <v/>
      </c>
      <c r="E51" s="76" t="str">
        <f>TOTAUX!E13</f>
        <v/>
      </c>
      <c r="F51" s="77" t="str">
        <f>TOTAUX!F13</f>
        <v/>
      </c>
      <c r="G51" s="72" t="str">
        <f>TOTAUX!G13</f>
        <v/>
      </c>
      <c r="H51" s="83" t="str">
        <f>TOTAUX!H13</f>
        <v/>
      </c>
      <c r="I51" s="78" t="str">
        <f>TOTAUX!I13</f>
        <v/>
      </c>
      <c r="J51" s="80" t="str">
        <f>TOTAUX!J13</f>
        <v/>
      </c>
      <c r="K51" s="74" t="str">
        <f>TOTAUX!K13</f>
        <v/>
      </c>
      <c r="L51" s="75" t="str">
        <f>TOTAUX!L13</f>
        <v/>
      </c>
      <c r="M51" s="76" t="str">
        <f>TOTAUX!M13</f>
        <v/>
      </c>
      <c r="N51" s="77" t="str">
        <f>TOTAUX!N13</f>
        <v/>
      </c>
      <c r="O51" s="72" t="str">
        <f>TOTAUX!O13</f>
        <v/>
      </c>
      <c r="P51" s="70" t="str">
        <f>TOTAUX!P13</f>
        <v/>
      </c>
      <c r="Q51" s="78" t="str">
        <f>TOTAUX!Q13</f>
        <v/>
      </c>
      <c r="R51" s="80" t="str">
        <f>TOTAUX!R13</f>
        <v/>
      </c>
    </row>
    <row r="52" spans="2:18" ht="20.100000000000001" customHeight="1">
      <c r="B52" s="74" t="str">
        <f>TOTAUX!C14</f>
        <v/>
      </c>
      <c r="C52" s="74"/>
      <c r="D52" s="75" t="str">
        <f>TOTAUX!D14</f>
        <v/>
      </c>
      <c r="E52" s="76" t="str">
        <f>TOTAUX!E14</f>
        <v/>
      </c>
      <c r="F52" s="77" t="str">
        <f>TOTAUX!F14</f>
        <v/>
      </c>
      <c r="G52" s="72" t="str">
        <f>TOTAUX!G14</f>
        <v/>
      </c>
      <c r="H52" s="83" t="str">
        <f>TOTAUX!H14</f>
        <v/>
      </c>
      <c r="I52" s="78" t="str">
        <f>TOTAUX!I14</f>
        <v/>
      </c>
      <c r="J52" s="80" t="str">
        <f>TOTAUX!J14</f>
        <v/>
      </c>
      <c r="K52" s="74" t="str">
        <f>TOTAUX!K14</f>
        <v/>
      </c>
      <c r="L52" s="75" t="str">
        <f>TOTAUX!L14</f>
        <v/>
      </c>
      <c r="M52" s="76" t="str">
        <f>TOTAUX!M14</f>
        <v/>
      </c>
      <c r="N52" s="77" t="str">
        <f>TOTAUX!N14</f>
        <v/>
      </c>
      <c r="O52" s="72" t="str">
        <f>TOTAUX!O14</f>
        <v/>
      </c>
      <c r="P52" s="70" t="str">
        <f>TOTAUX!P14</f>
        <v/>
      </c>
      <c r="Q52" s="78" t="str">
        <f>TOTAUX!Q14</f>
        <v/>
      </c>
      <c r="R52" s="80" t="str">
        <f>TOTAUX!R14</f>
        <v/>
      </c>
    </row>
    <row r="53" spans="2:18" ht="20.100000000000001" customHeight="1">
      <c r="B53" s="74" t="str">
        <f>TOTAUX!C15</f>
        <v/>
      </c>
      <c r="C53" s="74"/>
      <c r="D53" s="75" t="str">
        <f>TOTAUX!D15</f>
        <v/>
      </c>
      <c r="E53" s="76" t="str">
        <f>TOTAUX!E15</f>
        <v/>
      </c>
      <c r="F53" s="77" t="str">
        <f>TOTAUX!F15</f>
        <v/>
      </c>
      <c r="G53" s="72" t="str">
        <f>TOTAUX!G15</f>
        <v/>
      </c>
      <c r="H53" s="83" t="str">
        <f>TOTAUX!H15</f>
        <v/>
      </c>
      <c r="I53" s="78" t="str">
        <f>TOTAUX!I15</f>
        <v/>
      </c>
      <c r="J53" s="80" t="str">
        <f>TOTAUX!J15</f>
        <v/>
      </c>
      <c r="K53" s="74" t="str">
        <f>TOTAUX!K15</f>
        <v/>
      </c>
      <c r="L53" s="75" t="str">
        <f>TOTAUX!L15</f>
        <v/>
      </c>
      <c r="M53" s="76" t="str">
        <f>TOTAUX!M15</f>
        <v/>
      </c>
      <c r="N53" s="77" t="str">
        <f>TOTAUX!N15</f>
        <v/>
      </c>
      <c r="O53" s="72" t="str">
        <f>TOTAUX!O15</f>
        <v/>
      </c>
      <c r="P53" s="70" t="str">
        <f>TOTAUX!P15</f>
        <v/>
      </c>
      <c r="Q53" s="78" t="str">
        <f>TOTAUX!Q15</f>
        <v/>
      </c>
      <c r="R53" s="80" t="str">
        <f>TOTAUX!R15</f>
        <v/>
      </c>
    </row>
    <row r="54" spans="2:18" ht="20.100000000000001" customHeight="1">
      <c r="B54" s="74" t="str">
        <f>TOTAUX!C16</f>
        <v/>
      </c>
      <c r="C54" s="74"/>
      <c r="D54" s="75" t="str">
        <f>TOTAUX!D16</f>
        <v/>
      </c>
      <c r="E54" s="76" t="str">
        <f>TOTAUX!E16</f>
        <v/>
      </c>
      <c r="F54" s="77" t="str">
        <f>TOTAUX!F16</f>
        <v/>
      </c>
      <c r="G54" s="72" t="str">
        <f>TOTAUX!G16</f>
        <v/>
      </c>
      <c r="H54" s="83" t="str">
        <f>TOTAUX!H16</f>
        <v/>
      </c>
      <c r="I54" s="78" t="str">
        <f>TOTAUX!I16</f>
        <v/>
      </c>
      <c r="J54" s="80" t="str">
        <f>TOTAUX!J16</f>
        <v/>
      </c>
      <c r="K54" s="74" t="str">
        <f>TOTAUX!K16</f>
        <v/>
      </c>
      <c r="L54" s="75" t="str">
        <f>TOTAUX!L16</f>
        <v/>
      </c>
      <c r="M54" s="76" t="str">
        <f>TOTAUX!M16</f>
        <v/>
      </c>
      <c r="N54" s="77" t="str">
        <f>TOTAUX!N16</f>
        <v/>
      </c>
      <c r="O54" s="72" t="str">
        <f>TOTAUX!O16</f>
        <v/>
      </c>
      <c r="P54" s="70" t="str">
        <f>TOTAUX!P16</f>
        <v/>
      </c>
      <c r="Q54" s="78" t="str">
        <f>TOTAUX!Q16</f>
        <v/>
      </c>
      <c r="R54" s="80" t="str">
        <f>TOTAUX!R16</f>
        <v/>
      </c>
    </row>
    <row r="55" spans="2:18" ht="20.100000000000001" customHeight="1">
      <c r="B55" s="74" t="str">
        <f>TOTAUX!C17</f>
        <v/>
      </c>
      <c r="C55" s="74"/>
      <c r="D55" s="75" t="str">
        <f>TOTAUX!D17</f>
        <v/>
      </c>
      <c r="E55" s="76" t="str">
        <f>TOTAUX!E17</f>
        <v/>
      </c>
      <c r="F55" s="77" t="str">
        <f>TOTAUX!F17</f>
        <v/>
      </c>
      <c r="G55" s="72" t="str">
        <f>TOTAUX!G17</f>
        <v/>
      </c>
      <c r="H55" s="83" t="str">
        <f>TOTAUX!H17</f>
        <v/>
      </c>
      <c r="I55" s="78" t="str">
        <f>TOTAUX!I17</f>
        <v/>
      </c>
      <c r="J55" s="80" t="str">
        <f>TOTAUX!J17</f>
        <v/>
      </c>
      <c r="K55" s="74" t="str">
        <f>TOTAUX!K17</f>
        <v/>
      </c>
      <c r="L55" s="75" t="str">
        <f>TOTAUX!L17</f>
        <v/>
      </c>
      <c r="M55" s="76" t="str">
        <f>TOTAUX!M17</f>
        <v/>
      </c>
      <c r="N55" s="77" t="str">
        <f>TOTAUX!N17</f>
        <v/>
      </c>
      <c r="O55" s="72" t="str">
        <f>TOTAUX!O17</f>
        <v/>
      </c>
      <c r="P55" s="70" t="str">
        <f>TOTAUX!P17</f>
        <v/>
      </c>
      <c r="Q55" s="78" t="str">
        <f>TOTAUX!Q17</f>
        <v/>
      </c>
      <c r="R55" s="80" t="str">
        <f>TOTAUX!R17</f>
        <v/>
      </c>
    </row>
    <row r="56" spans="2:18" ht="20.100000000000001" customHeight="1">
      <c r="B56" s="74" t="str">
        <f>TOTAUX!C18</f>
        <v/>
      </c>
      <c r="C56" s="74"/>
      <c r="D56" s="75" t="str">
        <f>TOTAUX!D18</f>
        <v/>
      </c>
      <c r="E56" s="76" t="str">
        <f>TOTAUX!E18</f>
        <v/>
      </c>
      <c r="F56" s="77" t="str">
        <f>TOTAUX!F18</f>
        <v/>
      </c>
      <c r="G56" s="72" t="str">
        <f>TOTAUX!G18</f>
        <v/>
      </c>
      <c r="H56" s="83" t="str">
        <f>TOTAUX!H18</f>
        <v/>
      </c>
      <c r="I56" s="78" t="str">
        <f>TOTAUX!I18</f>
        <v/>
      </c>
      <c r="J56" s="80" t="str">
        <f>TOTAUX!J18</f>
        <v/>
      </c>
      <c r="K56" s="74" t="str">
        <f>TOTAUX!K18</f>
        <v/>
      </c>
      <c r="L56" s="75" t="str">
        <f>TOTAUX!L18</f>
        <v/>
      </c>
      <c r="M56" s="76" t="str">
        <f>TOTAUX!M18</f>
        <v/>
      </c>
      <c r="N56" s="77" t="str">
        <f>TOTAUX!N18</f>
        <v/>
      </c>
      <c r="O56" s="72" t="str">
        <f>TOTAUX!O18</f>
        <v/>
      </c>
      <c r="P56" s="70" t="str">
        <f>TOTAUX!P18</f>
        <v/>
      </c>
      <c r="Q56" s="78" t="str">
        <f>TOTAUX!Q18</f>
        <v/>
      </c>
      <c r="R56" s="80" t="str">
        <f>TOTAUX!R18</f>
        <v/>
      </c>
    </row>
    <row r="57" spans="2:18" ht="20.100000000000001" customHeight="1">
      <c r="B57" s="74" t="str">
        <f>TOTAUX!C19</f>
        <v/>
      </c>
      <c r="C57" s="74"/>
      <c r="D57" s="75" t="str">
        <f>TOTAUX!D19</f>
        <v/>
      </c>
      <c r="E57" s="76" t="str">
        <f>TOTAUX!E19</f>
        <v/>
      </c>
      <c r="F57" s="77" t="str">
        <f>TOTAUX!F19</f>
        <v/>
      </c>
      <c r="G57" s="72" t="str">
        <f>TOTAUX!G19</f>
        <v/>
      </c>
      <c r="H57" s="83" t="str">
        <f>TOTAUX!H19</f>
        <v/>
      </c>
      <c r="I57" s="78" t="str">
        <f>TOTAUX!I19</f>
        <v/>
      </c>
      <c r="J57" s="80" t="str">
        <f>TOTAUX!J19</f>
        <v/>
      </c>
      <c r="K57" s="74" t="str">
        <f>TOTAUX!K19</f>
        <v/>
      </c>
      <c r="L57" s="75" t="str">
        <f>TOTAUX!L19</f>
        <v/>
      </c>
      <c r="M57" s="76" t="str">
        <f>TOTAUX!M19</f>
        <v/>
      </c>
      <c r="N57" s="77" t="str">
        <f>TOTAUX!N19</f>
        <v/>
      </c>
      <c r="O57" s="72" t="str">
        <f>TOTAUX!O19</f>
        <v/>
      </c>
      <c r="P57" s="70" t="str">
        <f>TOTAUX!P19</f>
        <v/>
      </c>
      <c r="Q57" s="78" t="str">
        <f>TOTAUX!Q19</f>
        <v/>
      </c>
      <c r="R57" s="80" t="str">
        <f>TOTAUX!R19</f>
        <v/>
      </c>
    </row>
    <row r="58" spans="2:18">
      <c r="G58" s="1"/>
      <c r="H58" s="1"/>
      <c r="R58" s="81"/>
    </row>
    <row r="59" spans="2:18">
      <c r="G59" s="1"/>
      <c r="H59" s="1"/>
    </row>
    <row r="60" spans="2:18">
      <c r="G60" s="1"/>
      <c r="H60" s="1"/>
    </row>
    <row r="61" spans="2:18">
      <c r="G61" s="1"/>
      <c r="H61" s="1"/>
    </row>
  </sheetData>
  <sheetProtection sheet="1" selectLockedCells="1"/>
  <mergeCells count="37">
    <mergeCell ref="D25:F25"/>
    <mergeCell ref="G25:I25"/>
    <mergeCell ref="K25:N25"/>
    <mergeCell ref="O25:Q25"/>
    <mergeCell ref="D10:Q10"/>
    <mergeCell ref="D14:N14"/>
    <mergeCell ref="O17:Q17"/>
    <mergeCell ref="D19:N19"/>
    <mergeCell ref="D21:N21"/>
    <mergeCell ref="O19:Q19"/>
    <mergeCell ref="O21:Q21"/>
    <mergeCell ref="D9:H9"/>
    <mergeCell ref="D23:N23"/>
    <mergeCell ref="O23:Q23"/>
    <mergeCell ref="I9:Q9"/>
    <mergeCell ref="D11:N11"/>
    <mergeCell ref="D15:N15"/>
    <mergeCell ref="O15:Q15"/>
    <mergeCell ref="O13:Q13"/>
    <mergeCell ref="O11:Q11"/>
    <mergeCell ref="D17:N17"/>
    <mergeCell ref="D2:Q6"/>
    <mergeCell ref="B2:B6"/>
    <mergeCell ref="D38:Q38"/>
    <mergeCell ref="B40:H40"/>
    <mergeCell ref="K40:P40"/>
    <mergeCell ref="L32:N32"/>
    <mergeCell ref="L33:N33"/>
    <mergeCell ref="D34:K34"/>
    <mergeCell ref="L34:N34"/>
    <mergeCell ref="D36:N36"/>
    <mergeCell ref="D39:Q39"/>
    <mergeCell ref="D31:K31"/>
    <mergeCell ref="D32:K32"/>
    <mergeCell ref="D33:K33"/>
    <mergeCell ref="B29:Q29"/>
    <mergeCell ref="L31:N31"/>
  </mergeCells>
  <conditionalFormatting sqref="B40:H40">
    <cfRule type="notContainsBlanks" dxfId="52" priority="59">
      <formula>LEN(TRIM(B40))&gt;0</formula>
    </cfRule>
  </conditionalFormatting>
  <conditionalFormatting sqref="B42:I42">
    <cfRule type="expression" dxfId="51" priority="28">
      <formula>$R$42=1</formula>
    </cfRule>
  </conditionalFormatting>
  <conditionalFormatting sqref="B43:I43">
    <cfRule type="expression" dxfId="50" priority="27">
      <formula>$R$43=1</formula>
    </cfRule>
  </conditionalFormatting>
  <conditionalFormatting sqref="B44:I44">
    <cfRule type="expression" dxfId="49" priority="26">
      <formula>$R$44=1</formula>
    </cfRule>
  </conditionalFormatting>
  <conditionalFormatting sqref="B45:I45">
    <cfRule type="expression" dxfId="48" priority="25">
      <formula>$R$45=1</formula>
    </cfRule>
  </conditionalFormatting>
  <conditionalFormatting sqref="B46:I46">
    <cfRule type="expression" dxfId="47" priority="24">
      <formula>$R$46=1</formula>
    </cfRule>
  </conditionalFormatting>
  <conditionalFormatting sqref="B47:I47">
    <cfRule type="expression" dxfId="46" priority="23">
      <formula>$R$47=1</formula>
    </cfRule>
  </conditionalFormatting>
  <conditionalFormatting sqref="B48:I48">
    <cfRule type="expression" dxfId="45" priority="22">
      <formula>$R$48=1</formula>
    </cfRule>
  </conditionalFormatting>
  <conditionalFormatting sqref="B49:I49">
    <cfRule type="expression" dxfId="44" priority="29">
      <formula>$J$49=1</formula>
    </cfRule>
  </conditionalFormatting>
  <conditionalFormatting sqref="B50:I50">
    <cfRule type="expression" dxfId="43" priority="21">
      <formula>$R$50=1</formula>
    </cfRule>
  </conditionalFormatting>
  <conditionalFormatting sqref="B51:I51">
    <cfRule type="expression" dxfId="42" priority="20">
      <formula>$R$51=1</formula>
    </cfRule>
  </conditionalFormatting>
  <conditionalFormatting sqref="B52:I52">
    <cfRule type="expression" dxfId="41" priority="19">
      <formula>$R$52=1</formula>
    </cfRule>
  </conditionalFormatting>
  <conditionalFormatting sqref="B53:I53">
    <cfRule type="expression" dxfId="40" priority="18">
      <formula>$R$53=1</formula>
    </cfRule>
  </conditionalFormatting>
  <conditionalFormatting sqref="B54:I54">
    <cfRule type="expression" dxfId="39" priority="17">
      <formula>$R$54=1</formula>
    </cfRule>
  </conditionalFormatting>
  <conditionalFormatting sqref="B55:I55">
    <cfRule type="expression" dxfId="38" priority="16">
      <formula>$R$55=1</formula>
    </cfRule>
  </conditionalFormatting>
  <conditionalFormatting sqref="B56:I56">
    <cfRule type="expression" dxfId="37" priority="15">
      <formula>$R$56=1</formula>
    </cfRule>
  </conditionalFormatting>
  <conditionalFormatting sqref="B57:I57">
    <cfRule type="expression" dxfId="36" priority="14">
      <formula>$R$57=1</formula>
    </cfRule>
  </conditionalFormatting>
  <conditionalFormatting sqref="B29:Q29">
    <cfRule type="notContainsBlanks" dxfId="35" priority="8">
      <formula>LEN(TRIM(B29))&gt;0</formula>
    </cfRule>
  </conditionalFormatting>
  <conditionalFormatting sqref="D34:K34">
    <cfRule type="notContainsBlanks" dxfId="34" priority="10">
      <formula>LEN(TRIM(D34))&gt;0</formula>
    </cfRule>
    <cfRule type="notContainsBlanks" dxfId="33" priority="12">
      <formula>LEN(TRIM(D34))&gt;0</formula>
    </cfRule>
  </conditionalFormatting>
  <conditionalFormatting sqref="G25:I25">
    <cfRule type="expression" dxfId="32" priority="3">
      <formula>CAS&lt;&gt;14</formula>
    </cfRule>
  </conditionalFormatting>
  <conditionalFormatting sqref="I40">
    <cfRule type="notContainsBlanks" dxfId="31" priority="53">
      <formula>LEN(TRIM(I40))&gt;0</formula>
    </cfRule>
  </conditionalFormatting>
  <conditionalFormatting sqref="J25">
    <cfRule type="iconSet" priority="7">
      <iconSet iconSet="3Symbols2" showValue="0">
        <cfvo type="percent" val="0"/>
        <cfvo type="num" val="1" gte="0"/>
        <cfvo type="num" val="2"/>
      </iconSet>
    </cfRule>
  </conditionalFormatting>
  <conditionalFormatting sqref="K40:P40">
    <cfRule type="notContainsBlanks" dxfId="30" priority="52">
      <formula>LEN(TRIM(K40))&gt;0</formula>
    </cfRule>
  </conditionalFormatting>
  <conditionalFormatting sqref="K42:Q42">
    <cfRule type="expression" dxfId="29" priority="50">
      <formula>$R$42=1</formula>
    </cfRule>
  </conditionalFormatting>
  <conditionalFormatting sqref="K43:Q43">
    <cfRule type="expression" dxfId="28" priority="49">
      <formula>$R$43=1</formula>
    </cfRule>
  </conditionalFormatting>
  <conditionalFormatting sqref="K44:Q44">
    <cfRule type="expression" dxfId="27" priority="48">
      <formula>$R$44=1</formula>
    </cfRule>
  </conditionalFormatting>
  <conditionalFormatting sqref="K45:Q45">
    <cfRule type="expression" dxfId="26" priority="46">
      <formula>$R$45=1</formula>
    </cfRule>
  </conditionalFormatting>
  <conditionalFormatting sqref="K46:Q46">
    <cfRule type="expression" dxfId="25" priority="44">
      <formula>$R$46=1</formula>
    </cfRule>
  </conditionalFormatting>
  <conditionalFormatting sqref="K47:Q47">
    <cfRule type="expression" dxfId="24" priority="42">
      <formula>$R$47=1</formula>
    </cfRule>
  </conditionalFormatting>
  <conditionalFormatting sqref="K48:Q48">
    <cfRule type="expression" dxfId="23" priority="40">
      <formula>$R$48=1</formula>
    </cfRule>
  </conditionalFormatting>
  <conditionalFormatting sqref="K49:Q49">
    <cfRule type="expression" dxfId="22" priority="39">
      <formula>$R$49=1</formula>
    </cfRule>
  </conditionalFormatting>
  <conditionalFormatting sqref="K50:Q50">
    <cfRule type="expression" dxfId="21" priority="38">
      <formula>$R$50=1</formula>
    </cfRule>
  </conditionalFormatting>
  <conditionalFormatting sqref="K51:Q51">
    <cfRule type="expression" dxfId="20" priority="37">
      <formula>$R$51=1</formula>
    </cfRule>
  </conditionalFormatting>
  <conditionalFormatting sqref="K52:Q52">
    <cfRule type="expression" dxfId="19" priority="35">
      <formula>$R$52=1</formula>
    </cfRule>
  </conditionalFormatting>
  <conditionalFormatting sqref="K53:Q53">
    <cfRule type="expression" dxfId="18" priority="34">
      <formula>$R$53=1</formula>
    </cfRule>
  </conditionalFormatting>
  <conditionalFormatting sqref="K54:Q54">
    <cfRule type="expression" dxfId="17" priority="33">
      <formula>$R$54=1</formula>
    </cfRule>
  </conditionalFormatting>
  <conditionalFormatting sqref="K55:Q55">
    <cfRule type="expression" dxfId="16" priority="32">
      <formula>$R$55=1</formula>
    </cfRule>
  </conditionalFormatting>
  <conditionalFormatting sqref="K56:Q56">
    <cfRule type="expression" dxfId="15" priority="31">
      <formula>$R$56=1</formula>
    </cfRule>
  </conditionalFormatting>
  <conditionalFormatting sqref="K57:Q57">
    <cfRule type="expression" dxfId="14" priority="30">
      <formula>$R$57=1</formula>
    </cfRule>
  </conditionalFormatting>
  <conditionalFormatting sqref="L34:N34">
    <cfRule type="notContainsBlanks" dxfId="13" priority="9">
      <formula>LEN(TRIM(L34))&gt;0</formula>
    </cfRule>
    <cfRule type="notContainsBlanks" dxfId="12" priority="11">
      <formula>LEN(TRIM(L34))&gt;0</formula>
    </cfRule>
  </conditionalFormatting>
  <conditionalFormatting sqref="O15:Q15">
    <cfRule type="expression" dxfId="11" priority="5">
      <formula>$D$15="… Non concerné …"</formula>
    </cfRule>
  </conditionalFormatting>
  <conditionalFormatting sqref="O19:Q19">
    <cfRule type="expression" dxfId="10" priority="6">
      <formula>$D$19="… Non concerné …"</formula>
    </cfRule>
  </conditionalFormatting>
  <conditionalFormatting sqref="O21:Q21">
    <cfRule type="expression" dxfId="9" priority="4">
      <formula>$D$21="… Non concerné …"</formula>
    </cfRule>
  </conditionalFormatting>
  <conditionalFormatting sqref="O25:Q25">
    <cfRule type="expression" dxfId="8" priority="2">
      <formula>CAS&lt;&gt;14</formula>
    </cfRule>
  </conditionalFormatting>
  <conditionalFormatting sqref="Q40">
    <cfRule type="notContainsBlanks" dxfId="7" priority="51">
      <formula>LEN(TRIM(Q40))&gt;0</formula>
    </cfRule>
  </conditionalFormatting>
  <conditionalFormatting sqref="R11:R25">
    <cfRule type="iconSet" priority="56">
      <iconSet iconSet="3Symbols2" showValue="0">
        <cfvo type="percent" val="0"/>
        <cfvo type="num" val="1"/>
        <cfvo type="num" val="2"/>
      </iconSet>
    </cfRule>
  </conditionalFormatting>
  <conditionalFormatting sqref="R9">
    <cfRule type="iconSet" priority="1">
      <iconSet iconSet="3Symbols2" showValue="0">
        <cfvo type="percent" val="0"/>
        <cfvo type="num" val="1"/>
        <cfvo type="num" val="2"/>
      </iconSet>
    </cfRule>
  </conditionalFormatting>
  <dataValidations count="5">
    <dataValidation type="list" allowBlank="1" showInputMessage="1" showErrorMessage="1" sqref="I9:Q9">
      <formula1>ACTIVITE</formula1>
    </dataValidation>
    <dataValidation type="list" allowBlank="1" showInputMessage="1" showErrorMessage="1" sqref="O23:Q23">
      <formula1>TAUX_IR</formula1>
    </dataValidation>
    <dataValidation type="list" allowBlank="1" showInputMessage="1" showErrorMessage="1" sqref="O21:Q21">
      <formula1>OUI_NON</formula1>
    </dataValidation>
    <dataValidation type="list" allowBlank="1" showInputMessage="1" showErrorMessage="1" sqref="G25:I25">
      <formula1>ANNEE_AVOCAT</formula1>
    </dataValidation>
    <dataValidation type="list" allowBlank="1" showInputMessage="1" showErrorMessage="1" sqref="O25:Q25">
      <formula1>CLASSE_CNBF</formula1>
    </dataValidation>
  </dataValidations>
  <printOptions horizontalCentered="1"/>
  <pageMargins left="0.98425196850393704" right="0.98425196850393704" top="0.98425196850393704" bottom="0.98425196850393704" header="0.51181102362204722" footer="0.51181102362204722"/>
  <pageSetup paperSize="9" scale="3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0" id="{BBA82AB5-6AAE-4DBD-904D-843C062801CA}">
            <xm:f>Feuil3!$K$10=1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D33:K33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0"/>
  <sheetViews>
    <sheetView workbookViewId="0">
      <selection activeCell="J10" sqref="J10"/>
    </sheetView>
  </sheetViews>
  <sheetFormatPr baseColWidth="10" defaultRowHeight="15"/>
  <cols>
    <col min="1" max="1" width="35.5703125" bestFit="1" customWidth="1"/>
    <col min="4" max="4" width="11.85546875" bestFit="1" customWidth="1"/>
    <col min="6" max="7" width="11.85546875" bestFit="1" customWidth="1"/>
    <col min="8" max="8" width="3.28515625" customWidth="1"/>
    <col min="9" max="9" width="35.5703125" bestFit="1" customWidth="1"/>
    <col min="12" max="12" width="11.85546875" bestFit="1" customWidth="1"/>
    <col min="14" max="15" width="11.85546875" bestFit="1" customWidth="1"/>
  </cols>
  <sheetData>
    <row r="2" spans="1:15" ht="20.100000000000001" customHeight="1">
      <c r="A2" s="125" t="s">
        <v>25</v>
      </c>
      <c r="B2" s="125"/>
      <c r="C2" s="125"/>
      <c r="D2" s="125"/>
      <c r="E2" s="125"/>
      <c r="F2" s="125"/>
      <c r="G2" s="125"/>
      <c r="I2" s="125" t="s">
        <v>25</v>
      </c>
      <c r="J2" s="125"/>
      <c r="K2" s="125"/>
      <c r="L2" s="125"/>
      <c r="M2" s="125"/>
      <c r="N2" s="125"/>
      <c r="O2" s="125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73</v>
      </c>
      <c r="B4" s="1">
        <f>IF(REVENU&lt;1,0,REVENU)</f>
        <v>0</v>
      </c>
      <c r="C4" s="30">
        <f>'Chiffres '!E30</f>
        <v>0</v>
      </c>
      <c r="D4" s="36">
        <f t="shared" ref="D4:D17" si="0">ROUND(B4*C4,0)</f>
        <v>0</v>
      </c>
      <c r="E4" s="1" t="s">
        <v>22</v>
      </c>
      <c r="F4" s="36">
        <f>IF(OR(REVENU&lt;1,REV_CONV&lt;1,C4=0),0,ROUND(REV_CONV*(1-('Chiffres '!D7/(1+'Chiffres '!D7)))*('Chiffres '!E30-0.1%),0))</f>
        <v>0</v>
      </c>
      <c r="G4" s="36">
        <f>D4-F4</f>
        <v>0</v>
      </c>
      <c r="I4" t="s">
        <v>73</v>
      </c>
      <c r="J4" s="1">
        <f>IF(REVENU_RIOGA&lt;1,0,REVENU_RIOGA)</f>
        <v>0</v>
      </c>
      <c r="K4" s="30">
        <f>'Chiffres '!N30</f>
        <v>0</v>
      </c>
      <c r="L4" s="36">
        <f t="shared" ref="L4:L17" si="1">ROUND(J4*K4,0)</f>
        <v>0</v>
      </c>
      <c r="M4" s="1" t="s">
        <v>22</v>
      </c>
      <c r="N4" s="36" t="e">
        <f>IF(OR(REVENU_RIOGA&lt;1,REV_CONV_RIOGA&lt;1,K4=0),0,ROUND(REV_CONV_RIOGA*(1-('Chiffres '!D7/(1+'Chiffres '!D7)))*('Chiffres '!N30-0.1%),0))</f>
        <v>#DIV/0!</v>
      </c>
      <c r="O4" s="36" t="e">
        <f>L4-N4</f>
        <v>#DIV/0!</v>
      </c>
    </row>
    <row r="5" spans="1:15">
      <c r="A5" t="s">
        <v>20</v>
      </c>
      <c r="B5" s="1">
        <f>'Chiffres '!C36</f>
        <v>18547</v>
      </c>
      <c r="C5" s="30">
        <f>'Chiffres '!D34</f>
        <v>3.0000000000000001E-3</v>
      </c>
      <c r="D5" s="36">
        <f t="shared" si="0"/>
        <v>56</v>
      </c>
      <c r="E5" s="1"/>
      <c r="F5" s="1"/>
      <c r="G5" s="36">
        <f>D5</f>
        <v>56</v>
      </c>
      <c r="I5" t="s">
        <v>20</v>
      </c>
      <c r="J5" s="1">
        <f>'Chiffres '!L36</f>
        <v>18547</v>
      </c>
      <c r="K5" s="30">
        <f>'Chiffres '!N36</f>
        <v>3.0000000000000001E-3</v>
      </c>
      <c r="L5" s="36">
        <f t="shared" si="1"/>
        <v>56</v>
      </c>
      <c r="M5" s="1"/>
      <c r="N5" s="1"/>
      <c r="O5" s="36">
        <f>L5</f>
        <v>56</v>
      </c>
    </row>
    <row r="6" spans="1:15">
      <c r="A6" t="s">
        <v>72</v>
      </c>
      <c r="B6" s="1">
        <f>IF(REVENU&lt;1,0,REVENU-ROUND(REV_CONV*(1-('Chiffres '!D7/(1+'Chiffres '!D7))),0))</f>
        <v>0</v>
      </c>
      <c r="C6" s="30">
        <v>3.2500000000000001E-2</v>
      </c>
      <c r="D6" s="36">
        <f t="shared" si="0"/>
        <v>0</v>
      </c>
      <c r="E6" s="1"/>
      <c r="F6" s="1"/>
      <c r="G6" s="36">
        <f>D6</f>
        <v>0</v>
      </c>
      <c r="I6" t="s">
        <v>72</v>
      </c>
      <c r="J6" s="1">
        <f>IF(REVENU_RIOGA&lt;1,0,REVENU_RIOGA-ROUND(REV_CONV_RIOGA*(1-('Chiffres '!D7/(1+'Chiffres '!D7))),0))</f>
        <v>0</v>
      </c>
      <c r="K6" s="30">
        <v>3.2500000000000001E-2</v>
      </c>
      <c r="L6" s="36">
        <f t="shared" si="1"/>
        <v>0</v>
      </c>
      <c r="M6" s="1"/>
      <c r="N6" s="1"/>
      <c r="O6" s="36">
        <f>L6</f>
        <v>0</v>
      </c>
    </row>
    <row r="7" spans="1:15">
      <c r="A7" t="s">
        <v>21</v>
      </c>
      <c r="B7" s="1">
        <f>IF(REVENU&lt;1,0,REVENU)</f>
        <v>0</v>
      </c>
      <c r="C7" s="31">
        <f>'Chiffres '!E42</f>
        <v>0</v>
      </c>
      <c r="D7" s="36">
        <f t="shared" si="0"/>
        <v>0</v>
      </c>
      <c r="E7" s="1"/>
      <c r="F7" s="1"/>
      <c r="G7" s="36">
        <f>D7-F7</f>
        <v>0</v>
      </c>
      <c r="I7" t="s">
        <v>21</v>
      </c>
      <c r="J7" s="1">
        <f>IF(REVENU_RIOGA&lt;1,0,REVENU_RIOGA)</f>
        <v>0</v>
      </c>
      <c r="K7" s="30">
        <f>'Chiffres '!N42</f>
        <v>0</v>
      </c>
      <c r="L7" s="36">
        <f t="shared" si="1"/>
        <v>0</v>
      </c>
      <c r="M7" s="1"/>
      <c r="N7" s="1"/>
      <c r="O7" s="36">
        <f>L7-N7</f>
        <v>0</v>
      </c>
    </row>
    <row r="8" spans="1:15">
      <c r="A8" t="s">
        <v>12</v>
      </c>
      <c r="B8" s="1">
        <f>PASS</f>
        <v>46368</v>
      </c>
      <c r="C8" s="30">
        <f>'Chiffres '!D45</f>
        <v>2.5000000000000001E-3</v>
      </c>
      <c r="D8" s="36">
        <f t="shared" si="0"/>
        <v>116</v>
      </c>
      <c r="E8" s="1"/>
      <c r="F8" s="1"/>
      <c r="G8" s="36">
        <f>D8</f>
        <v>116</v>
      </c>
      <c r="I8" t="s">
        <v>12</v>
      </c>
      <c r="J8" s="1">
        <f>PASS</f>
        <v>46368</v>
      </c>
      <c r="K8" s="30">
        <f>'Chiffres '!D45</f>
        <v>2.5000000000000001E-3</v>
      </c>
      <c r="L8" s="36">
        <f t="shared" si="1"/>
        <v>116</v>
      </c>
      <c r="M8" s="1"/>
      <c r="N8" s="1"/>
      <c r="O8" s="36">
        <f>L8</f>
        <v>116</v>
      </c>
    </row>
    <row r="9" spans="1:15">
      <c r="A9" t="str">
        <f>IF('Chiffres '!D8=TRUE,"URPS non due car Remplaçant","URPS")</f>
        <v>URPS</v>
      </c>
      <c r="B9" s="1">
        <f>'6-MédS1'!B9</f>
        <v>0</v>
      </c>
      <c r="C9" s="30">
        <f>IF('Chiffres '!D8=TRUE,0,0.3%)</f>
        <v>3.0000000000000001E-3</v>
      </c>
      <c r="D9" s="36">
        <f t="shared" si="0"/>
        <v>0</v>
      </c>
      <c r="E9" s="1"/>
      <c r="F9" s="1"/>
      <c r="G9" s="36">
        <f>D9</f>
        <v>0</v>
      </c>
      <c r="I9" t="str">
        <f>IF('Chiffres '!D8=TRUE,"URPS non due car Remplaçant","URPS")</f>
        <v>URPS</v>
      </c>
      <c r="J9" s="44">
        <f>'6-MédS1'!J9</f>
        <v>0</v>
      </c>
      <c r="K9" s="30">
        <f>IF('Chiffres '!D8=TRUE,0,0.3%)</f>
        <v>3.0000000000000001E-3</v>
      </c>
      <c r="L9" s="36">
        <f t="shared" si="1"/>
        <v>0</v>
      </c>
      <c r="M9" s="1"/>
      <c r="N9" s="1"/>
      <c r="O9" s="36">
        <f>L9</f>
        <v>0</v>
      </c>
    </row>
    <row r="10" spans="1:15">
      <c r="A10" t="s">
        <v>11</v>
      </c>
      <c r="B10" s="1">
        <f>IF(REVENU+CSP_OBLIG&lt;1,0,REVENU+CSP_OBLIG)</f>
        <v>0</v>
      </c>
      <c r="C10" s="30">
        <f>'Chiffres '!D43</f>
        <v>9.7000000000000003E-2</v>
      </c>
      <c r="D10" s="36">
        <f t="shared" si="0"/>
        <v>0</v>
      </c>
      <c r="E10" s="1"/>
      <c r="F10" s="1"/>
      <c r="G10" s="36">
        <f>D10</f>
        <v>0</v>
      </c>
      <c r="I10" t="s">
        <v>11</v>
      </c>
      <c r="J10" s="1">
        <f>IF(REVENU_RIOGA+CSP_OBLIG&lt;1,0,REVENU_RIOGA+CSP_OBLIG)</f>
        <v>0</v>
      </c>
      <c r="K10" s="30">
        <f>'Chiffres '!D43</f>
        <v>9.7000000000000003E-2</v>
      </c>
      <c r="L10" s="36">
        <f t="shared" si="1"/>
        <v>0</v>
      </c>
      <c r="M10" s="1"/>
      <c r="N10" s="1"/>
      <c r="O10" s="36">
        <f>L10</f>
        <v>0</v>
      </c>
    </row>
    <row r="11" spans="1:15">
      <c r="A11" s="17" t="s">
        <v>24</v>
      </c>
      <c r="B11" s="28"/>
      <c r="C11" s="28"/>
      <c r="D11" s="37"/>
      <c r="E11" s="28"/>
      <c r="F11" s="28"/>
      <c r="G11" s="37">
        <f>SUM(G4:G10)</f>
        <v>172</v>
      </c>
      <c r="I11" s="17" t="s">
        <v>24</v>
      </c>
      <c r="J11" s="28"/>
      <c r="K11" s="28"/>
      <c r="L11" s="37"/>
      <c r="M11" s="28"/>
      <c r="N11" s="28"/>
      <c r="O11" s="37" t="e">
        <f>SUM(O4:O10)</f>
        <v>#DIV/0!</v>
      </c>
    </row>
    <row r="12" spans="1:15">
      <c r="A12" t="s">
        <v>27</v>
      </c>
      <c r="B12" s="44">
        <f>'8-PAM'!B12</f>
        <v>5243</v>
      </c>
      <c r="C12" s="30">
        <f>'8-PAM'!C12</f>
        <v>8.2299999999999998E-2</v>
      </c>
      <c r="D12" s="36">
        <f t="shared" si="0"/>
        <v>431</v>
      </c>
      <c r="E12" s="1"/>
      <c r="F12" s="1"/>
      <c r="G12" s="36">
        <f t="shared" ref="G12:G18" si="2">D12</f>
        <v>431</v>
      </c>
      <c r="I12" t="s">
        <v>27</v>
      </c>
      <c r="J12" s="44">
        <f>'8-PAM'!J12</f>
        <v>5243</v>
      </c>
      <c r="K12" s="30">
        <f>'8-PAM'!K12</f>
        <v>8.2299999999999998E-2</v>
      </c>
      <c r="L12" s="36">
        <f t="shared" si="1"/>
        <v>431</v>
      </c>
      <c r="M12" s="1"/>
      <c r="N12" s="1"/>
      <c r="O12" s="36">
        <f>L12</f>
        <v>431</v>
      </c>
    </row>
    <row r="13" spans="1:15">
      <c r="A13" t="s">
        <v>28</v>
      </c>
      <c r="B13" s="44">
        <f>'8-PAM'!B13</f>
        <v>5243</v>
      </c>
      <c r="C13" s="30">
        <f>'8-PAM'!C13</f>
        <v>1.8700000000000001E-2</v>
      </c>
      <c r="D13" s="36">
        <f t="shared" si="0"/>
        <v>98</v>
      </c>
      <c r="E13" s="1"/>
      <c r="F13" s="1"/>
      <c r="G13" s="36">
        <f t="shared" si="2"/>
        <v>98</v>
      </c>
      <c r="I13" t="s">
        <v>28</v>
      </c>
      <c r="J13" s="44">
        <f>'8-PAM'!J13</f>
        <v>5243</v>
      </c>
      <c r="K13" s="30">
        <f>'8-PAM'!K13</f>
        <v>1.8700000000000001E-2</v>
      </c>
      <c r="L13" s="36">
        <f t="shared" si="1"/>
        <v>98</v>
      </c>
      <c r="M13" s="1"/>
      <c r="N13" s="1"/>
      <c r="O13" s="36">
        <f>L13</f>
        <v>98</v>
      </c>
    </row>
    <row r="14" spans="1:15">
      <c r="A14" t="s">
        <v>40</v>
      </c>
      <c r="B14" s="1"/>
      <c r="C14" s="1"/>
      <c r="D14" s="36">
        <f>'Chiffres '!B175</f>
        <v>3108</v>
      </c>
      <c r="E14" s="1"/>
      <c r="F14" s="1"/>
      <c r="G14" s="36">
        <f t="shared" si="2"/>
        <v>3108</v>
      </c>
      <c r="I14" t="s">
        <v>40</v>
      </c>
      <c r="J14" s="1"/>
      <c r="K14" s="1"/>
      <c r="L14" s="36">
        <f>D14</f>
        <v>3108</v>
      </c>
      <c r="M14" s="1"/>
      <c r="N14" s="1"/>
      <c r="O14" s="36">
        <f>L14</f>
        <v>3108</v>
      </c>
    </row>
    <row r="15" spans="1:15">
      <c r="A15" t="s">
        <v>41</v>
      </c>
      <c r="B15" s="1">
        <f>'Chiffres '!C181</f>
        <v>0</v>
      </c>
      <c r="C15" s="30">
        <f>'Chiffres '!D181</f>
        <v>0.108</v>
      </c>
      <c r="D15" s="36">
        <f t="shared" si="0"/>
        <v>0</v>
      </c>
      <c r="E15" s="1"/>
      <c r="F15" s="1"/>
      <c r="G15" s="36">
        <f t="shared" si="2"/>
        <v>0</v>
      </c>
      <c r="I15" t="s">
        <v>41</v>
      </c>
      <c r="J15" s="1">
        <f>'Chiffres '!L181</f>
        <v>0</v>
      </c>
      <c r="K15" s="30">
        <f>'Chiffres '!M181</f>
        <v>0.108</v>
      </c>
      <c r="L15" s="36">
        <f t="shared" si="1"/>
        <v>0</v>
      </c>
      <c r="M15" s="1"/>
      <c r="N15" s="1"/>
      <c r="O15" s="36">
        <f>L15</f>
        <v>0</v>
      </c>
    </row>
    <row r="16" spans="1:15">
      <c r="A16" t="s">
        <v>74</v>
      </c>
      <c r="B16" s="1"/>
      <c r="C16" s="1"/>
      <c r="D16" s="36">
        <f>'Chiffres '!B184</f>
        <v>1619</v>
      </c>
      <c r="E16" s="1"/>
      <c r="F16" s="1"/>
      <c r="G16" s="36">
        <f t="shared" si="2"/>
        <v>1619</v>
      </c>
      <c r="I16" t="s">
        <v>74</v>
      </c>
      <c r="J16" s="1"/>
      <c r="K16" s="1"/>
      <c r="L16" s="36">
        <f>'Chiffres '!B184</f>
        <v>1619</v>
      </c>
      <c r="M16" s="1"/>
      <c r="N16" s="1"/>
      <c r="O16" s="36">
        <f t="shared" ref="O16:O18" si="3">L16</f>
        <v>1619</v>
      </c>
    </row>
    <row r="17" spans="1:15">
      <c r="A17" t="s">
        <v>75</v>
      </c>
      <c r="B17" s="1">
        <f>'Chiffres '!C189</f>
        <v>0</v>
      </c>
      <c r="C17" s="45">
        <f>'Chiffres '!D189</f>
        <v>7.2500000000000004E-3</v>
      </c>
      <c r="D17" s="36">
        <f t="shared" si="0"/>
        <v>0</v>
      </c>
      <c r="E17" s="1"/>
      <c r="F17" s="1"/>
      <c r="G17" s="36">
        <f t="shared" si="2"/>
        <v>0</v>
      </c>
      <c r="I17" t="s">
        <v>75</v>
      </c>
      <c r="J17" s="1">
        <f>'Chiffres '!L189</f>
        <v>0</v>
      </c>
      <c r="K17" s="45">
        <f>'Chiffres '!M189</f>
        <v>7.2500000000000004E-3</v>
      </c>
      <c r="L17" s="36">
        <f t="shared" si="1"/>
        <v>0</v>
      </c>
      <c r="M17" s="1"/>
      <c r="N17" s="1"/>
      <c r="O17" s="36">
        <f t="shared" si="3"/>
        <v>0</v>
      </c>
    </row>
    <row r="18" spans="1:15">
      <c r="A18" t="s">
        <v>32</v>
      </c>
      <c r="B18" s="1"/>
      <c r="C18" s="1"/>
      <c r="D18" s="36">
        <f>'Chiffres '!B192</f>
        <v>1284</v>
      </c>
      <c r="E18" s="1"/>
      <c r="F18" s="1"/>
      <c r="G18" s="36">
        <f t="shared" si="2"/>
        <v>1284</v>
      </c>
      <c r="I18" t="s">
        <v>32</v>
      </c>
      <c r="J18" s="1"/>
      <c r="K18" s="1"/>
      <c r="L18" s="36">
        <f>D18</f>
        <v>1284</v>
      </c>
      <c r="M18" s="1"/>
      <c r="N18" s="1"/>
      <c r="O18" s="36">
        <f t="shared" si="3"/>
        <v>1284</v>
      </c>
    </row>
    <row r="19" spans="1:15">
      <c r="A19" s="17" t="s">
        <v>78</v>
      </c>
      <c r="B19" s="28"/>
      <c r="C19" s="28"/>
      <c r="D19" s="28"/>
      <c r="E19" s="28"/>
      <c r="F19" s="28"/>
      <c r="G19" s="37">
        <f>SUM(G12:G18)</f>
        <v>6540</v>
      </c>
      <c r="I19" s="17" t="s">
        <v>78</v>
      </c>
      <c r="J19" s="28"/>
      <c r="K19" s="28"/>
      <c r="L19" s="37"/>
      <c r="M19" s="28"/>
      <c r="N19" s="28"/>
      <c r="O19" s="37">
        <f>SUM(O12:O18)</f>
        <v>6540</v>
      </c>
    </row>
    <row r="21" spans="1:15">
      <c r="A21" s="24" t="s">
        <v>59</v>
      </c>
      <c r="B21" s="24"/>
      <c r="C21" s="24"/>
      <c r="D21" s="24"/>
      <c r="E21" s="24"/>
      <c r="F21" s="24"/>
      <c r="G21" s="23">
        <f>G19+G11</f>
        <v>6712</v>
      </c>
      <c r="I21" s="24" t="s">
        <v>59</v>
      </c>
      <c r="J21" s="24"/>
      <c r="K21" s="24"/>
      <c r="L21" s="24"/>
      <c r="M21" s="24"/>
      <c r="N21" s="24"/>
      <c r="O21" s="23" t="e">
        <f>O19+O11</f>
        <v>#DIV/0!</v>
      </c>
    </row>
    <row r="23" spans="1:15" ht="15.75">
      <c r="A23" s="27" t="s">
        <v>127</v>
      </c>
      <c r="B23" s="26"/>
      <c r="C23" s="26"/>
      <c r="D23" s="26"/>
      <c r="E23" s="26"/>
      <c r="F23" s="26"/>
      <c r="G23" s="25" t="e">
        <f>G21-O21</f>
        <v>#DIV/0!</v>
      </c>
    </row>
    <row r="25" spans="1:15" ht="15.75">
      <c r="A25" s="27" t="s">
        <v>128</v>
      </c>
      <c r="B25" s="26"/>
      <c r="C25" s="26"/>
      <c r="D25" s="26"/>
      <c r="E25" s="26"/>
      <c r="F25" s="26"/>
      <c r="G25" s="25">
        <f>-'Chiffres '!L1</f>
        <v>0</v>
      </c>
    </row>
    <row r="27" spans="1:15" ht="15.75">
      <c r="A27" s="27" t="s">
        <v>129</v>
      </c>
      <c r="B27" s="26"/>
      <c r="C27" s="26"/>
      <c r="D27" s="26"/>
      <c r="E27" s="26"/>
      <c r="F27" s="26"/>
      <c r="G27" s="25">
        <f>RIOGA</f>
        <v>0</v>
      </c>
    </row>
    <row r="28" spans="1:15">
      <c r="A28" t="str">
        <f>"- SURCOÛT CHARGES SOCIALES"</f>
        <v>- SURCOÛT CHARGES SOCIALES</v>
      </c>
      <c r="G28" s="49" t="e">
        <f>G23</f>
        <v>#DIV/0!</v>
      </c>
    </row>
    <row r="29" spans="1:15">
      <c r="A29" t="str">
        <f>"- SURCOÛT IR"</f>
        <v>- SURCOÛT IR</v>
      </c>
      <c r="G29" s="49">
        <f>+G25</f>
        <v>0</v>
      </c>
    </row>
    <row r="30" spans="1:15">
      <c r="A30" t="s">
        <v>130</v>
      </c>
      <c r="G30" s="49" t="e">
        <f>SUM(G27:G29)</f>
        <v>#DIV/0!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4"/>
  <sheetViews>
    <sheetView workbookViewId="0">
      <selection activeCell="I16" sqref="I16"/>
    </sheetView>
  </sheetViews>
  <sheetFormatPr baseColWidth="10" defaultRowHeight="15"/>
  <cols>
    <col min="1" max="1" width="37.140625" bestFit="1" customWidth="1"/>
    <col min="7" max="7" width="13.140625" customWidth="1"/>
    <col min="8" max="8" width="3.28515625" customWidth="1"/>
    <col min="9" max="9" width="25.42578125" bestFit="1" customWidth="1"/>
    <col min="15" max="15" width="14.7109375" customWidth="1"/>
  </cols>
  <sheetData>
    <row r="2" spans="1:15">
      <c r="A2" s="126" t="s">
        <v>25</v>
      </c>
      <c r="B2" s="126"/>
      <c r="C2" s="126"/>
      <c r="D2" s="126"/>
      <c r="E2" s="126"/>
      <c r="F2" s="126"/>
      <c r="G2" s="126"/>
      <c r="I2" s="126" t="s">
        <v>58</v>
      </c>
      <c r="J2" s="126"/>
      <c r="K2" s="126"/>
      <c r="L2" s="126"/>
      <c r="M2" s="126"/>
      <c r="N2" s="126"/>
      <c r="O2" s="126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100</v>
      </c>
      <c r="B4">
        <f>'Chiffres '!C231</f>
        <v>0</v>
      </c>
      <c r="C4" s="6">
        <f>'Chiffres '!F231</f>
        <v>0</v>
      </c>
      <c r="D4">
        <f t="shared" ref="D4:D14" si="0">ROUND(B4*C4,0)</f>
        <v>0</v>
      </c>
      <c r="G4" s="19">
        <f>D4</f>
        <v>0</v>
      </c>
      <c r="I4" t="s">
        <v>100</v>
      </c>
      <c r="J4">
        <f>'Chiffres '!L231</f>
        <v>0</v>
      </c>
      <c r="K4" s="6">
        <f>'Chiffres '!O231</f>
        <v>0</v>
      </c>
      <c r="L4">
        <f t="shared" ref="L4:L14" si="1">ROUND(J4*K4,0)</f>
        <v>0</v>
      </c>
      <c r="O4" s="19">
        <f>L4</f>
        <v>0</v>
      </c>
    </row>
    <row r="5" spans="1:15">
      <c r="A5" t="s">
        <v>101</v>
      </c>
      <c r="B5">
        <f>'Chiffres '!C234</f>
        <v>0</v>
      </c>
      <c r="C5" s="6">
        <f>'Chiffres '!D234</f>
        <v>6.5000000000000002E-2</v>
      </c>
      <c r="D5">
        <f t="shared" si="0"/>
        <v>0</v>
      </c>
      <c r="G5" s="19">
        <f>D5</f>
        <v>0</v>
      </c>
      <c r="I5" t="s">
        <v>101</v>
      </c>
      <c r="J5">
        <f>'Chiffres '!L234</f>
        <v>0</v>
      </c>
      <c r="K5" s="6">
        <f>'Chiffres '!M234</f>
        <v>6.5000000000000002E-2</v>
      </c>
      <c r="L5">
        <f t="shared" si="1"/>
        <v>0</v>
      </c>
      <c r="O5" s="19">
        <f>L5</f>
        <v>0</v>
      </c>
    </row>
    <row r="6" spans="1:15">
      <c r="A6" t="s">
        <v>20</v>
      </c>
      <c r="B6">
        <f>'Chiffres '!C241</f>
        <v>18547</v>
      </c>
      <c r="C6" s="15">
        <f>'Chiffres '!E241</f>
        <v>5.0000000000000001E-3</v>
      </c>
      <c r="D6">
        <f t="shared" si="0"/>
        <v>93</v>
      </c>
      <c r="G6" s="19">
        <f>D6-F6</f>
        <v>93</v>
      </c>
      <c r="I6" t="s">
        <v>20</v>
      </c>
      <c r="J6">
        <f>'Chiffres '!L241</f>
        <v>18547</v>
      </c>
      <c r="K6" s="6">
        <f>'Chiffres '!N241</f>
        <v>5.0000000000000001E-3</v>
      </c>
      <c r="L6">
        <f t="shared" si="1"/>
        <v>93</v>
      </c>
      <c r="O6" s="19">
        <f>L6-N6</f>
        <v>93</v>
      </c>
    </row>
    <row r="7" spans="1:15">
      <c r="A7" t="s">
        <v>102</v>
      </c>
      <c r="B7">
        <f>'Chiffres '!C249</f>
        <v>5243</v>
      </c>
      <c r="C7" s="6">
        <f>'Chiffres '!D246</f>
        <v>0.17749999999999999</v>
      </c>
      <c r="D7">
        <f t="shared" si="0"/>
        <v>931</v>
      </c>
      <c r="G7" s="19">
        <f t="shared" ref="G7:G12" si="2">D7</f>
        <v>931</v>
      </c>
      <c r="I7" t="s">
        <v>102</v>
      </c>
      <c r="J7">
        <f>'Chiffres '!L249</f>
        <v>5243</v>
      </c>
      <c r="K7" s="6">
        <f>'Chiffres '!M246</f>
        <v>0.17749999999999999</v>
      </c>
      <c r="L7">
        <f t="shared" si="1"/>
        <v>931</v>
      </c>
      <c r="O7" s="19">
        <f>L7</f>
        <v>931</v>
      </c>
    </row>
    <row r="8" spans="1:15">
      <c r="A8" t="s">
        <v>103</v>
      </c>
      <c r="B8">
        <f>'Chiffres '!C252</f>
        <v>0</v>
      </c>
      <c r="C8" s="6">
        <f>'Chiffres '!D252</f>
        <v>6.0000000000000001E-3</v>
      </c>
      <c r="D8">
        <f t="shared" si="0"/>
        <v>0</v>
      </c>
      <c r="G8" s="19">
        <f t="shared" si="2"/>
        <v>0</v>
      </c>
      <c r="I8" t="s">
        <v>103</v>
      </c>
      <c r="J8">
        <f>'Chiffres '!L252</f>
        <v>0</v>
      </c>
      <c r="K8" s="6">
        <f>'Chiffres '!M252</f>
        <v>6.0000000000000001E-3</v>
      </c>
      <c r="L8">
        <f t="shared" si="1"/>
        <v>0</v>
      </c>
      <c r="O8" s="19">
        <f>L8</f>
        <v>0</v>
      </c>
    </row>
    <row r="9" spans="1:15">
      <c r="A9" t="s">
        <v>104</v>
      </c>
      <c r="B9">
        <f>'Chiffres '!C261</f>
        <v>0</v>
      </c>
      <c r="C9" s="6">
        <f>'Chiffres '!D258</f>
        <v>7.0000000000000007E-2</v>
      </c>
      <c r="D9">
        <f t="shared" si="0"/>
        <v>0</v>
      </c>
      <c r="G9" s="19">
        <f t="shared" si="2"/>
        <v>0</v>
      </c>
      <c r="I9" t="s">
        <v>104</v>
      </c>
      <c r="J9">
        <f>'Chiffres '!L261</f>
        <v>0</v>
      </c>
      <c r="K9" s="6">
        <f>'Chiffres '!M258</f>
        <v>7.0000000000000007E-2</v>
      </c>
      <c r="L9">
        <f t="shared" si="1"/>
        <v>0</v>
      </c>
      <c r="O9" s="19">
        <f>L9</f>
        <v>0</v>
      </c>
    </row>
    <row r="10" spans="1:15">
      <c r="A10" t="s">
        <v>105</v>
      </c>
      <c r="B10">
        <f>'Chiffres '!C267</f>
        <v>0</v>
      </c>
      <c r="C10" s="6">
        <f>'Chiffres '!D267</f>
        <v>0.08</v>
      </c>
      <c r="D10">
        <f t="shared" si="0"/>
        <v>0</v>
      </c>
      <c r="G10" s="19">
        <f t="shared" si="2"/>
        <v>0</v>
      </c>
      <c r="I10" t="s">
        <v>105</v>
      </c>
      <c r="J10">
        <f>'Chiffres '!L267</f>
        <v>0</v>
      </c>
      <c r="K10" s="6">
        <f>'Chiffres '!M267</f>
        <v>0.08</v>
      </c>
      <c r="L10">
        <f t="shared" si="1"/>
        <v>0</v>
      </c>
      <c r="O10" s="19">
        <f>L10</f>
        <v>0</v>
      </c>
    </row>
    <row r="11" spans="1:15">
      <c r="A11" t="s">
        <v>32</v>
      </c>
      <c r="B11">
        <f>'Chiffres '!C275</f>
        <v>0</v>
      </c>
      <c r="C11" s="6">
        <f>'Chiffres '!D275</f>
        <v>1.2999999999999999E-2</v>
      </c>
      <c r="D11">
        <f t="shared" si="0"/>
        <v>0</v>
      </c>
      <c r="G11" s="19">
        <f t="shared" si="2"/>
        <v>0</v>
      </c>
      <c r="I11" t="s">
        <v>32</v>
      </c>
      <c r="J11">
        <f>'Chiffres '!L275</f>
        <v>0</v>
      </c>
      <c r="K11" s="6">
        <f>'Chiffres '!M275</f>
        <v>1.2999999999999999E-2</v>
      </c>
      <c r="L11">
        <f t="shared" si="1"/>
        <v>0</v>
      </c>
      <c r="O11" s="19">
        <f>G11</f>
        <v>0</v>
      </c>
    </row>
    <row r="12" spans="1:15">
      <c r="A12" t="s">
        <v>21</v>
      </c>
      <c r="B12">
        <f>'9-CIPAV'!B6</f>
        <v>0</v>
      </c>
      <c r="C12" s="6">
        <f>'9-CIPAV'!C6</f>
        <v>0</v>
      </c>
      <c r="D12">
        <f t="shared" si="0"/>
        <v>0</v>
      </c>
      <c r="G12" s="19">
        <f t="shared" si="2"/>
        <v>0</v>
      </c>
      <c r="I12" t="s">
        <v>21</v>
      </c>
      <c r="J12">
        <f>'9-CIPAV'!J6</f>
        <v>0</v>
      </c>
      <c r="K12" s="6">
        <f>'9-CIPAV'!K6</f>
        <v>0</v>
      </c>
      <c r="L12">
        <f t="shared" si="1"/>
        <v>0</v>
      </c>
      <c r="O12" s="19">
        <f>L12</f>
        <v>0</v>
      </c>
    </row>
    <row r="13" spans="1:15">
      <c r="A13" t="s">
        <v>12</v>
      </c>
      <c r="B13">
        <f>'Chiffres '!A279</f>
        <v>46368</v>
      </c>
      <c r="C13" s="6">
        <f>'Chiffres '!B282</f>
        <v>2.5000000000000001E-3</v>
      </c>
      <c r="D13">
        <f t="shared" si="0"/>
        <v>116</v>
      </c>
      <c r="G13" s="19">
        <f t="shared" ref="G13:G14" si="3">D13</f>
        <v>116</v>
      </c>
      <c r="I13" t="s">
        <v>12</v>
      </c>
      <c r="J13">
        <f>B13</f>
        <v>46368</v>
      </c>
      <c r="K13" s="6">
        <f>'Chiffres '!B282</f>
        <v>2.5000000000000001E-3</v>
      </c>
      <c r="L13">
        <f t="shared" si="1"/>
        <v>116</v>
      </c>
      <c r="O13" s="19">
        <f t="shared" ref="O13:O14" si="4">L13</f>
        <v>116</v>
      </c>
    </row>
    <row r="14" spans="1:15">
      <c r="A14" t="s">
        <v>11</v>
      </c>
      <c r="B14">
        <f>'9-CIPAV'!B8</f>
        <v>0</v>
      </c>
      <c r="C14" s="6">
        <f>'9-CIPAV'!C8</f>
        <v>9.7000000000000003E-2</v>
      </c>
      <c r="D14">
        <f t="shared" si="0"/>
        <v>0</v>
      </c>
      <c r="G14" s="19">
        <f t="shared" si="3"/>
        <v>0</v>
      </c>
      <c r="I14" t="s">
        <v>11</v>
      </c>
      <c r="J14">
        <f>'9-CIPAV'!J8</f>
        <v>0</v>
      </c>
      <c r="K14" s="6">
        <f>'9-CIPAV'!K8</f>
        <v>9.7000000000000003E-2</v>
      </c>
      <c r="L14">
        <f t="shared" si="1"/>
        <v>0</v>
      </c>
      <c r="O14" s="19">
        <f t="shared" si="4"/>
        <v>0</v>
      </c>
    </row>
    <row r="15" spans="1:15">
      <c r="A15" s="24" t="s">
        <v>24</v>
      </c>
      <c r="B15" s="24"/>
      <c r="C15" s="24"/>
      <c r="D15" s="24"/>
      <c r="E15" s="24"/>
      <c r="F15" s="24"/>
      <c r="G15" s="23">
        <f>SUM(G4:G14)</f>
        <v>1140</v>
      </c>
      <c r="I15" s="24" t="str">
        <f>A15</f>
        <v>TOTAL URSSAF</v>
      </c>
      <c r="J15" s="24"/>
      <c r="K15" s="24"/>
      <c r="L15" s="24"/>
      <c r="M15" s="24"/>
      <c r="N15" s="24"/>
      <c r="O15" s="23">
        <f>SUM(O4:O14)</f>
        <v>1140</v>
      </c>
    </row>
    <row r="17" spans="1:7" ht="15.75">
      <c r="A17" s="27" t="s">
        <v>127</v>
      </c>
      <c r="B17" s="26"/>
      <c r="C17" s="26"/>
      <c r="D17" s="26"/>
      <c r="E17" s="26"/>
      <c r="F17" s="26"/>
      <c r="G17" s="25">
        <f>G15-O15</f>
        <v>0</v>
      </c>
    </row>
    <row r="19" spans="1:7" ht="15.75">
      <c r="A19" s="27" t="s">
        <v>128</v>
      </c>
      <c r="B19" s="26"/>
      <c r="C19" s="26"/>
      <c r="D19" s="26"/>
      <c r="E19" s="26"/>
      <c r="F19" s="26"/>
      <c r="G19" s="25">
        <f>-'Chiffres '!L1</f>
        <v>0</v>
      </c>
    </row>
    <row r="21" spans="1:7" ht="15.75">
      <c r="A21" s="27" t="s">
        <v>129</v>
      </c>
      <c r="B21" s="26"/>
      <c r="C21" s="26"/>
      <c r="D21" s="26"/>
      <c r="E21" s="26"/>
      <c r="F21" s="26"/>
      <c r="G21" s="25">
        <f>RIOGA</f>
        <v>0</v>
      </c>
    </row>
    <row r="22" spans="1:7">
      <c r="A22" t="str">
        <f>"- SURCOÛT CHARGES SOCIALES"</f>
        <v>- SURCOÛT CHARGES SOCIALES</v>
      </c>
      <c r="G22" s="49">
        <f>G17</f>
        <v>0</v>
      </c>
    </row>
    <row r="23" spans="1:7">
      <c r="A23" t="str">
        <f>"- SURCOÛT IR"</f>
        <v>- SURCOÛT IR</v>
      </c>
      <c r="G23" s="49">
        <f>+G19</f>
        <v>0</v>
      </c>
    </row>
    <row r="24" spans="1:7">
      <c r="A24" t="s">
        <v>130</v>
      </c>
      <c r="G24" s="49">
        <f>SUM(G21:G23)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5"/>
  <sheetViews>
    <sheetView workbookViewId="0">
      <selection activeCell="J8" sqref="J8"/>
    </sheetView>
  </sheetViews>
  <sheetFormatPr baseColWidth="10" defaultRowHeight="15"/>
  <cols>
    <col min="1" max="1" width="30.7109375" customWidth="1"/>
    <col min="2" max="6" width="12.7109375" customWidth="1"/>
    <col min="7" max="7" width="15.7109375" customWidth="1"/>
    <col min="8" max="8" width="3.28515625" customWidth="1"/>
    <col min="9" max="9" width="30.7109375" customWidth="1"/>
    <col min="10" max="14" width="12.7109375" style="1" customWidth="1"/>
    <col min="15" max="15" width="15.7109375" customWidth="1"/>
  </cols>
  <sheetData>
    <row r="2" spans="1:15" ht="20.100000000000001" customHeight="1">
      <c r="A2" s="127" t="s">
        <v>62</v>
      </c>
      <c r="B2" s="127"/>
      <c r="C2" s="127"/>
      <c r="D2" s="127"/>
      <c r="E2" s="127"/>
      <c r="F2" s="127"/>
      <c r="G2" s="127"/>
      <c r="I2" s="127" t="s">
        <v>63</v>
      </c>
      <c r="J2" s="127"/>
      <c r="K2" s="127"/>
      <c r="L2" s="127"/>
      <c r="M2" s="127"/>
      <c r="N2" s="127"/>
      <c r="O2" s="127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18</v>
      </c>
      <c r="B4" s="1">
        <f>'9-CIPAV'!B4</f>
        <v>0</v>
      </c>
      <c r="C4" s="30">
        <f>'Chiffres '!E30</f>
        <v>0</v>
      </c>
      <c r="D4" s="40">
        <f>G4</f>
        <v>0</v>
      </c>
      <c r="E4" s="30"/>
      <c r="F4" s="30"/>
      <c r="G4" s="21">
        <f>ROUND(B4*C4,0)</f>
        <v>0</v>
      </c>
      <c r="I4" t="s">
        <v>18</v>
      </c>
      <c r="J4" s="1">
        <f>'9-CIPAV'!J4</f>
        <v>0</v>
      </c>
      <c r="K4" s="30">
        <f>'Chiffres '!N30</f>
        <v>0</v>
      </c>
      <c r="L4" s="40">
        <f>O4</f>
        <v>0</v>
      </c>
      <c r="M4" s="30"/>
      <c r="N4" s="30"/>
      <c r="O4" s="21">
        <f>ROUND(J4*K4,0)</f>
        <v>0</v>
      </c>
    </row>
    <row r="5" spans="1:15">
      <c r="A5" t="s">
        <v>20</v>
      </c>
      <c r="B5" s="1">
        <f>'Chiffres '!C36</f>
        <v>18547</v>
      </c>
      <c r="C5" s="30">
        <f>'Chiffres '!D34</f>
        <v>3.0000000000000001E-3</v>
      </c>
      <c r="D5" s="40">
        <f t="shared" ref="D5:D8" si="0">G5</f>
        <v>56</v>
      </c>
      <c r="E5" s="30"/>
      <c r="F5" s="30"/>
      <c r="G5" s="21">
        <f t="shared" ref="G5:G11" si="1">ROUND(B5*C5,0)</f>
        <v>56</v>
      </c>
      <c r="I5" t="s">
        <v>20</v>
      </c>
      <c r="J5" s="1">
        <f>'Chiffres '!L36</f>
        <v>18547</v>
      </c>
      <c r="K5" s="30">
        <f>'Chiffres '!N36</f>
        <v>3.0000000000000001E-3</v>
      </c>
      <c r="L5" s="40">
        <f t="shared" ref="L5:L8" si="2">O5</f>
        <v>56</v>
      </c>
      <c r="M5" s="30"/>
      <c r="N5" s="30"/>
      <c r="O5" s="21">
        <f t="shared" ref="O5:O11" si="3">ROUND(J5*K5,0)</f>
        <v>56</v>
      </c>
    </row>
    <row r="6" spans="1:15">
      <c r="A6" t="s">
        <v>21</v>
      </c>
      <c r="B6" s="1">
        <f>'9-CIPAV'!B6</f>
        <v>0</v>
      </c>
      <c r="C6" s="31">
        <f>'Chiffres '!E42</f>
        <v>0</v>
      </c>
      <c r="D6" s="40">
        <f t="shared" si="0"/>
        <v>0</v>
      </c>
      <c r="E6" s="31"/>
      <c r="F6" s="31"/>
      <c r="G6" s="21">
        <f t="shared" si="1"/>
        <v>0</v>
      </c>
      <c r="I6" t="s">
        <v>21</v>
      </c>
      <c r="J6" s="1">
        <f>'9-CIPAV'!J6</f>
        <v>0</v>
      </c>
      <c r="K6" s="30">
        <f>'Chiffres '!N42</f>
        <v>0</v>
      </c>
      <c r="L6" s="40">
        <f t="shared" si="2"/>
        <v>0</v>
      </c>
      <c r="M6" s="30"/>
      <c r="N6" s="30"/>
      <c r="O6" s="21">
        <f t="shared" si="3"/>
        <v>0</v>
      </c>
    </row>
    <row r="7" spans="1:15">
      <c r="A7" t="s">
        <v>12</v>
      </c>
      <c r="B7" s="1">
        <f>PASS</f>
        <v>46368</v>
      </c>
      <c r="C7" s="30">
        <f>'Chiffres '!D45</f>
        <v>2.5000000000000001E-3</v>
      </c>
      <c r="D7" s="40">
        <f t="shared" si="0"/>
        <v>116</v>
      </c>
      <c r="E7" s="30"/>
      <c r="F7" s="30"/>
      <c r="G7" s="21">
        <f t="shared" si="1"/>
        <v>116</v>
      </c>
      <c r="I7" t="s">
        <v>12</v>
      </c>
      <c r="J7" s="1">
        <f>PASS</f>
        <v>46368</v>
      </c>
      <c r="K7" s="30">
        <f>'Chiffres '!D45</f>
        <v>2.5000000000000001E-3</v>
      </c>
      <c r="L7" s="40">
        <f t="shared" si="2"/>
        <v>116</v>
      </c>
      <c r="M7" s="30"/>
      <c r="N7" s="30"/>
      <c r="O7" s="21">
        <f t="shared" si="3"/>
        <v>116</v>
      </c>
    </row>
    <row r="8" spans="1:15">
      <c r="A8" t="s">
        <v>11</v>
      </c>
      <c r="B8" s="1">
        <f>'9-CIPAV'!B8</f>
        <v>0</v>
      </c>
      <c r="C8" s="30">
        <f>'Chiffres '!D43</f>
        <v>9.7000000000000003E-2</v>
      </c>
      <c r="D8" s="40">
        <f t="shared" si="0"/>
        <v>0</v>
      </c>
      <c r="E8" s="30"/>
      <c r="F8" s="30"/>
      <c r="G8" s="21">
        <f t="shared" si="1"/>
        <v>0</v>
      </c>
      <c r="I8" t="s">
        <v>11</v>
      </c>
      <c r="J8" s="1">
        <f>'9-CIPAV'!J8</f>
        <v>0</v>
      </c>
      <c r="K8" s="30">
        <f>'Chiffres '!D43</f>
        <v>9.7000000000000003E-2</v>
      </c>
      <c r="L8" s="40">
        <f t="shared" si="2"/>
        <v>0</v>
      </c>
      <c r="M8" s="30"/>
      <c r="N8" s="30"/>
      <c r="O8" s="21">
        <f t="shared" si="3"/>
        <v>0</v>
      </c>
    </row>
    <row r="9" spans="1:15">
      <c r="A9" s="17" t="s">
        <v>24</v>
      </c>
      <c r="B9" s="28"/>
      <c r="C9" s="28"/>
      <c r="D9" s="28"/>
      <c r="E9" s="28"/>
      <c r="F9" s="28"/>
      <c r="G9" s="22">
        <f>SUM(G4:G8)</f>
        <v>172</v>
      </c>
      <c r="I9" s="17" t="s">
        <v>24</v>
      </c>
      <c r="J9" s="28"/>
      <c r="K9" s="28"/>
      <c r="L9" s="28"/>
      <c r="M9" s="28"/>
      <c r="N9" s="28"/>
      <c r="O9" s="22">
        <f>SUM(O4:O8)</f>
        <v>172</v>
      </c>
    </row>
    <row r="10" spans="1:15">
      <c r="A10" t="s">
        <v>27</v>
      </c>
      <c r="B10" s="1">
        <f>'Chiffres '!C52</f>
        <v>5243</v>
      </c>
      <c r="C10" s="30">
        <f>'Chiffres '!E52</f>
        <v>8.2299999999999998E-2</v>
      </c>
      <c r="D10" s="40">
        <f>G10</f>
        <v>431</v>
      </c>
      <c r="E10" s="30"/>
      <c r="F10" s="30"/>
      <c r="G10" s="21">
        <f t="shared" si="1"/>
        <v>431</v>
      </c>
      <c r="I10" t="s">
        <v>27</v>
      </c>
      <c r="J10" s="1">
        <f>'Chiffres '!L52</f>
        <v>5243</v>
      </c>
      <c r="K10" s="30">
        <f>'Chiffres '!N52</f>
        <v>8.2299999999999998E-2</v>
      </c>
      <c r="L10" s="40">
        <f>O10</f>
        <v>431</v>
      </c>
      <c r="M10" s="30"/>
      <c r="N10" s="30"/>
      <c r="O10" s="21">
        <f t="shared" si="3"/>
        <v>431</v>
      </c>
    </row>
    <row r="11" spans="1:15">
      <c r="A11" t="s">
        <v>28</v>
      </c>
      <c r="B11" s="1">
        <f>'Chiffres '!C58</f>
        <v>5243</v>
      </c>
      <c r="C11" s="30">
        <f>'Chiffres '!E58</f>
        <v>1.8700000000000001E-2</v>
      </c>
      <c r="D11" s="40">
        <f t="shared" ref="D11:D13" si="4">G11</f>
        <v>98</v>
      </c>
      <c r="E11" s="30"/>
      <c r="F11" s="30"/>
      <c r="G11" s="21">
        <f t="shared" si="1"/>
        <v>98</v>
      </c>
      <c r="I11" t="s">
        <v>28</v>
      </c>
      <c r="J11" s="1">
        <f>'Chiffres '!L58</f>
        <v>5243</v>
      </c>
      <c r="K11" s="30">
        <f>'Chiffres '!N58</f>
        <v>1.8700000000000001E-2</v>
      </c>
      <c r="L11" s="40">
        <f t="shared" ref="L11:L13" si="5">O11</f>
        <v>98</v>
      </c>
      <c r="M11" s="30"/>
      <c r="N11" s="30"/>
      <c r="O11" s="21">
        <f t="shared" si="3"/>
        <v>98</v>
      </c>
    </row>
    <row r="12" spans="1:15">
      <c r="A12" t="s">
        <v>46</v>
      </c>
      <c r="B12" s="1" t="str">
        <f>'Chiffres '!C136</f>
        <v>Classe A</v>
      </c>
      <c r="D12" s="40">
        <f t="shared" si="4"/>
        <v>760</v>
      </c>
      <c r="G12" s="21">
        <f>'Chiffres '!E135</f>
        <v>760</v>
      </c>
      <c r="I12" t="s">
        <v>46</v>
      </c>
      <c r="J12" s="1" t="str">
        <f>'Chiffres '!L136</f>
        <v>Classe A</v>
      </c>
      <c r="L12" s="40">
        <f t="shared" si="5"/>
        <v>760</v>
      </c>
      <c r="O12" s="21">
        <f>'Chiffres '!N135</f>
        <v>760</v>
      </c>
    </row>
    <row r="13" spans="1:15">
      <c r="A13" t="s">
        <v>32</v>
      </c>
      <c r="B13" s="1" t="str">
        <f>'Chiffres '!C145</f>
        <v>Classe 1</v>
      </c>
      <c r="D13" s="40">
        <f t="shared" si="4"/>
        <v>288</v>
      </c>
      <c r="G13" s="21">
        <f>'Chiffres '!E144</f>
        <v>288</v>
      </c>
      <c r="I13" t="s">
        <v>32</v>
      </c>
      <c r="J13" s="1" t="str">
        <f>'Chiffres '!L145</f>
        <v>Classe 1</v>
      </c>
      <c r="L13" s="40">
        <f t="shared" si="5"/>
        <v>288</v>
      </c>
      <c r="O13" s="21">
        <f>'Chiffres '!N144</f>
        <v>288</v>
      </c>
    </row>
    <row r="14" spans="1:15">
      <c r="A14" s="17" t="s">
        <v>52</v>
      </c>
      <c r="B14" s="28"/>
      <c r="C14" s="17"/>
      <c r="D14" s="17"/>
      <c r="E14" s="17"/>
      <c r="F14" s="17"/>
      <c r="G14" s="22">
        <f>SUM(G10:G13)</f>
        <v>1577</v>
      </c>
      <c r="I14" s="17" t="s">
        <v>52</v>
      </c>
      <c r="J14" s="28"/>
      <c r="K14" s="28"/>
      <c r="L14" s="28"/>
      <c r="M14" s="28"/>
      <c r="N14" s="28"/>
      <c r="O14" s="22">
        <f>SUM(O10:O13)</f>
        <v>1577</v>
      </c>
    </row>
    <row r="16" spans="1:15">
      <c r="A16" s="24" t="s">
        <v>59</v>
      </c>
      <c r="B16" s="24"/>
      <c r="C16" s="24"/>
      <c r="D16" s="24"/>
      <c r="E16" s="24"/>
      <c r="F16" s="24"/>
      <c r="G16" s="23">
        <f>G14+G9</f>
        <v>1749</v>
      </c>
      <c r="I16" s="24" t="s">
        <v>59</v>
      </c>
      <c r="J16" s="29"/>
      <c r="K16" s="29"/>
      <c r="L16" s="29"/>
      <c r="M16" s="29"/>
      <c r="N16" s="29"/>
      <c r="O16" s="23">
        <f>O14+O9</f>
        <v>1749</v>
      </c>
    </row>
    <row r="18" spans="1:7" ht="15.75">
      <c r="A18" s="27" t="s">
        <v>127</v>
      </c>
      <c r="B18" s="26"/>
      <c r="C18" s="26"/>
      <c r="D18" s="26"/>
      <c r="E18" s="26"/>
      <c r="F18" s="26"/>
      <c r="G18" s="25">
        <f>G16-O16</f>
        <v>0</v>
      </c>
    </row>
    <row r="20" spans="1:7" ht="15.75">
      <c r="A20" s="27" t="s">
        <v>128</v>
      </c>
      <c r="B20" s="26"/>
      <c r="C20" s="26"/>
      <c r="D20" s="26"/>
      <c r="E20" s="26"/>
      <c r="F20" s="26"/>
      <c r="G20" s="25">
        <f>-'Chiffres '!L1</f>
        <v>0</v>
      </c>
    </row>
    <row r="22" spans="1:7" ht="15.75">
      <c r="A22" s="27" t="s">
        <v>129</v>
      </c>
      <c r="B22" s="26"/>
      <c r="C22" s="26"/>
      <c r="D22" s="26"/>
      <c r="E22" s="26"/>
      <c r="F22" s="26"/>
      <c r="G22" s="25">
        <f>RIOGA</f>
        <v>0</v>
      </c>
    </row>
    <row r="23" spans="1:7">
      <c r="A23" t="str">
        <f>"- SURCOÛT CHARGES SOCIALES"</f>
        <v>- SURCOÛT CHARGES SOCIALES</v>
      </c>
      <c r="G23" s="49">
        <f>G18</f>
        <v>0</v>
      </c>
    </row>
    <row r="24" spans="1:7">
      <c r="A24" t="str">
        <f>"- SURCOÛT IR"</f>
        <v>- SURCOÛT IR</v>
      </c>
      <c r="G24" s="49">
        <f>+G20</f>
        <v>0</v>
      </c>
    </row>
    <row r="25" spans="1:7">
      <c r="A25" t="s">
        <v>130</v>
      </c>
      <c r="G25" s="49">
        <f>SUM(G22:G24)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9"/>
  <sheetViews>
    <sheetView workbookViewId="0">
      <selection activeCell="F4" sqref="F4"/>
    </sheetView>
  </sheetViews>
  <sheetFormatPr baseColWidth="10" defaultRowHeight="15"/>
  <cols>
    <col min="1" max="1" width="37.140625" bestFit="1" customWidth="1"/>
    <col min="2" max="6" width="12.7109375" customWidth="1"/>
    <col min="7" max="7" width="15.7109375" customWidth="1"/>
    <col min="8" max="8" width="3.28515625" customWidth="1"/>
    <col min="9" max="9" width="32.85546875" bestFit="1" customWidth="1"/>
    <col min="10" max="10" width="11.85546875" bestFit="1" customWidth="1"/>
    <col min="15" max="15" width="11.85546875" bestFit="1" customWidth="1"/>
  </cols>
  <sheetData>
    <row r="2" spans="1:15" ht="20.100000000000001" customHeight="1">
      <c r="A2" s="127" t="s">
        <v>25</v>
      </c>
      <c r="B2" s="127"/>
      <c r="C2" s="127"/>
      <c r="D2" s="127"/>
      <c r="E2" s="127"/>
      <c r="F2" s="127"/>
      <c r="G2" s="127"/>
      <c r="I2" s="125" t="s">
        <v>58</v>
      </c>
      <c r="J2" s="125"/>
      <c r="K2" s="125"/>
      <c r="L2" s="125"/>
      <c r="M2" s="125"/>
      <c r="N2" s="125"/>
      <c r="O2" s="125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73</v>
      </c>
      <c r="B4" s="1">
        <f>'3-Chir_dent'!B4</f>
        <v>0</v>
      </c>
      <c r="C4" s="30">
        <f>'Chiffres '!E30</f>
        <v>0</v>
      </c>
      <c r="D4" s="21">
        <f t="shared" ref="D4:D10" si="0">ROUND(B4*C4,0)</f>
        <v>0</v>
      </c>
      <c r="E4" s="32" t="s">
        <v>22</v>
      </c>
      <c r="F4" s="21">
        <f>'8-PAM'!F4</f>
        <v>0</v>
      </c>
      <c r="G4" s="21">
        <f>D4-F4</f>
        <v>0</v>
      </c>
      <c r="I4" t="s">
        <v>73</v>
      </c>
      <c r="J4" s="42">
        <f>'3-Chir_dent'!J4</f>
        <v>0</v>
      </c>
      <c r="K4" s="30">
        <f>'Chiffres '!N30</f>
        <v>0</v>
      </c>
      <c r="L4" s="36">
        <f t="shared" ref="L4:L10" si="1">ROUND(J4*K4,0)</f>
        <v>0</v>
      </c>
      <c r="M4" s="1" t="s">
        <v>22</v>
      </c>
      <c r="N4" s="36">
        <f>'8-PAM'!N4</f>
        <v>0</v>
      </c>
      <c r="O4" s="36">
        <f>L4-N4</f>
        <v>0</v>
      </c>
    </row>
    <row r="5" spans="1:15">
      <c r="A5" t="s">
        <v>20</v>
      </c>
      <c r="B5" s="1">
        <f>'Chiffres '!C36</f>
        <v>18547</v>
      </c>
      <c r="C5" s="30">
        <f>'Chiffres '!D34</f>
        <v>3.0000000000000001E-3</v>
      </c>
      <c r="D5" s="21">
        <f t="shared" si="0"/>
        <v>56</v>
      </c>
      <c r="E5" s="32"/>
      <c r="F5" s="21"/>
      <c r="G5" s="21">
        <f>D5</f>
        <v>56</v>
      </c>
      <c r="I5" t="s">
        <v>20</v>
      </c>
      <c r="J5" s="42">
        <f>'Chiffres '!L36</f>
        <v>18547</v>
      </c>
      <c r="K5" s="30">
        <f>'Chiffres '!N36</f>
        <v>3.0000000000000001E-3</v>
      </c>
      <c r="L5" s="36">
        <f t="shared" si="1"/>
        <v>56</v>
      </c>
      <c r="M5" s="1"/>
      <c r="N5" s="36"/>
      <c r="O5" s="36">
        <f>L5</f>
        <v>56</v>
      </c>
    </row>
    <row r="6" spans="1:15">
      <c r="A6" t="s">
        <v>72</v>
      </c>
      <c r="B6" s="1" t="e">
        <f>IF('Chiffres '!E6&lt;0,0,'Chiffres '!E6)</f>
        <v>#DIV/0!</v>
      </c>
      <c r="C6" s="30">
        <v>3.2500000000000001E-2</v>
      </c>
      <c r="D6" s="21" t="e">
        <f t="shared" si="0"/>
        <v>#DIV/0!</v>
      </c>
      <c r="E6" s="32"/>
      <c r="F6" s="21"/>
      <c r="G6" s="21" t="e">
        <f>D6</f>
        <v>#DIV/0!</v>
      </c>
      <c r="I6" t="s">
        <v>72</v>
      </c>
      <c r="J6" s="42">
        <f>IF(REVENU_RIOGA&lt;0,0,'Chiffres '!D6)</f>
        <v>0</v>
      </c>
      <c r="K6" s="30">
        <v>3.2500000000000001E-2</v>
      </c>
      <c r="L6" s="36">
        <f t="shared" si="1"/>
        <v>0</v>
      </c>
      <c r="M6" s="1"/>
      <c r="N6" s="36"/>
      <c r="O6" s="36">
        <f>L6</f>
        <v>0</v>
      </c>
    </row>
    <row r="7" spans="1:15">
      <c r="A7" t="s">
        <v>21</v>
      </c>
      <c r="B7" s="1">
        <f>'3-Chir_dent'!B7</f>
        <v>0</v>
      </c>
      <c r="C7" s="31">
        <f>'Chiffres '!E42</f>
        <v>0</v>
      </c>
      <c r="D7" s="21">
        <f t="shared" si="0"/>
        <v>0</v>
      </c>
      <c r="E7" s="32" t="s">
        <v>22</v>
      </c>
      <c r="F7" s="21">
        <f>IF(REV_CONV&lt;PASS_140+1,ROUND(REV_CONV*C7,0),IF(AND(REV_CONV&gt;PASS_140,REV_CONV&lt;PASS*2.5+1),ROUND(REV_CONV*C7*0.75,0),ROUND(REV_CONV*C7*0.6,0)))</f>
        <v>0</v>
      </c>
      <c r="G7" s="21">
        <f>D7-F7</f>
        <v>0</v>
      </c>
      <c r="I7" t="s">
        <v>21</v>
      </c>
      <c r="J7" s="42">
        <f>'3-Chir_dent'!J7</f>
        <v>0</v>
      </c>
      <c r="K7" s="30">
        <f>'Chiffres '!N42</f>
        <v>0</v>
      </c>
      <c r="L7" s="36">
        <f t="shared" si="1"/>
        <v>0</v>
      </c>
      <c r="M7" s="1" t="s">
        <v>22</v>
      </c>
      <c r="N7" s="36" t="e">
        <f>IF(REV_CONV_RIOGA&lt;PASS_140+1,ROUND(REV_CONV_RIOGA*K7,0),IF(AND(REV_CONV_RIOGA&gt;PASS_140,REV_CONV_RIOGA&lt;PASS*2.5+1),ROUND(REV_CONV_RIOGA*K7*0.75,0),ROUND(REV_CONV_RIOGA*K7*0.6,0)))</f>
        <v>#DIV/0!</v>
      </c>
      <c r="O7" s="36" t="e">
        <f>L7-N7</f>
        <v>#DIV/0!</v>
      </c>
    </row>
    <row r="8" spans="1:15">
      <c r="A8" t="s">
        <v>12</v>
      </c>
      <c r="B8" s="1">
        <f>PASS</f>
        <v>46368</v>
      </c>
      <c r="C8" s="30">
        <f>'Chiffres '!D45</f>
        <v>2.5000000000000001E-3</v>
      </c>
      <c r="D8" s="21">
        <f t="shared" si="0"/>
        <v>116</v>
      </c>
      <c r="E8" s="32"/>
      <c r="F8" s="21"/>
      <c r="G8" s="21">
        <f>D8</f>
        <v>116</v>
      </c>
      <c r="I8" t="s">
        <v>12</v>
      </c>
      <c r="J8" s="42">
        <f>PASS</f>
        <v>46368</v>
      </c>
      <c r="K8" s="30">
        <f>'Chiffres '!D45</f>
        <v>2.5000000000000001E-3</v>
      </c>
      <c r="L8" s="36">
        <f t="shared" si="1"/>
        <v>116</v>
      </c>
      <c r="M8" s="1"/>
      <c r="N8" s="36"/>
      <c r="O8" s="36">
        <f>L8</f>
        <v>116</v>
      </c>
    </row>
    <row r="9" spans="1:15">
      <c r="A9" t="str">
        <f>IF('Chiffres '!D8=TRUE,"URPS non due car Remplaçant","URPS")</f>
        <v>URPS</v>
      </c>
      <c r="B9" s="1">
        <f>IF('Chiffres '!D8="VRAI",0,IF(REVENU&lt;0,0,IF(REVENU&lt;PASS+1,REVENU,PASS)))</f>
        <v>0</v>
      </c>
      <c r="C9" s="30">
        <f>IF('Chiffres '!D8=TRUE,0,0.5%)</f>
        <v>5.0000000000000001E-3</v>
      </c>
      <c r="D9" s="21">
        <f t="shared" si="0"/>
        <v>0</v>
      </c>
      <c r="E9" s="32"/>
      <c r="F9" s="21"/>
      <c r="G9" s="21">
        <f>D9</f>
        <v>0</v>
      </c>
      <c r="I9" t="str">
        <f>IF('Chiffres '!D8=TRUE,"URPS non due car Remplaçant","URPS")</f>
        <v>URPS</v>
      </c>
      <c r="J9" s="42">
        <f>IF('Chiffres '!D8="VRAI",0,IF(REVENU_RIOGA&lt;0,0,IF(REVENU_RIOGA&lt;PASS+1,REVENU_RIOGA,PASS)))</f>
        <v>0</v>
      </c>
      <c r="K9" s="30">
        <f>IF('Chiffres '!D8=TRUE,0,0.5%)</f>
        <v>5.0000000000000001E-3</v>
      </c>
      <c r="L9" s="36">
        <f t="shared" si="1"/>
        <v>0</v>
      </c>
      <c r="M9" s="1"/>
      <c r="N9" s="36"/>
      <c r="O9" s="36">
        <f>L9</f>
        <v>0</v>
      </c>
    </row>
    <row r="10" spans="1:15">
      <c r="A10" t="s">
        <v>11</v>
      </c>
      <c r="B10" s="1">
        <f>'3-Chir_dent'!B10</f>
        <v>0</v>
      </c>
      <c r="C10" s="30">
        <f>'Chiffres '!D43</f>
        <v>9.7000000000000003E-2</v>
      </c>
      <c r="D10" s="21">
        <f t="shared" si="0"/>
        <v>0</v>
      </c>
      <c r="E10" s="32"/>
      <c r="F10" s="21"/>
      <c r="G10" s="21">
        <f>D10</f>
        <v>0</v>
      </c>
      <c r="I10" t="s">
        <v>11</v>
      </c>
      <c r="J10" s="42">
        <f>'3-Chir_dent'!J10</f>
        <v>0</v>
      </c>
      <c r="K10" s="30">
        <f>'Chiffres '!D43</f>
        <v>9.7000000000000003E-2</v>
      </c>
      <c r="L10" s="36">
        <f t="shared" si="1"/>
        <v>0</v>
      </c>
      <c r="M10" s="1"/>
      <c r="N10" s="36"/>
      <c r="O10" s="36">
        <f>L10</f>
        <v>0</v>
      </c>
    </row>
    <row r="11" spans="1:15" ht="15" customHeight="1">
      <c r="A11" s="17" t="s">
        <v>24</v>
      </c>
      <c r="B11" s="28"/>
      <c r="C11" s="28"/>
      <c r="D11" s="22"/>
      <c r="E11" s="33"/>
      <c r="F11" s="22"/>
      <c r="G11" s="22" t="e">
        <f>SUM(G4:G10)</f>
        <v>#DIV/0!</v>
      </c>
      <c r="I11" s="17" t="s">
        <v>24</v>
      </c>
      <c r="J11" s="43"/>
      <c r="K11" s="28"/>
      <c r="L11" s="37"/>
      <c r="M11" s="28"/>
      <c r="N11" s="37"/>
      <c r="O11" s="37" t="e">
        <f>SUM(O4:O10)</f>
        <v>#DIV/0!</v>
      </c>
    </row>
    <row r="12" spans="1:15">
      <c r="A12" t="s">
        <v>27</v>
      </c>
      <c r="B12" s="1">
        <f>'Chiffres '!C52</f>
        <v>5243</v>
      </c>
      <c r="C12" s="30">
        <f>'Chiffres '!E52</f>
        <v>8.2299999999999998E-2</v>
      </c>
      <c r="D12" s="21">
        <f>ROUND(B12*C12,0)</f>
        <v>431</v>
      </c>
      <c r="E12" s="32" t="s">
        <v>22</v>
      </c>
      <c r="F12" s="21">
        <f>ROUND(REV_CONV*1.95%,0)</f>
        <v>0</v>
      </c>
      <c r="G12" s="21">
        <f>D12-F12</f>
        <v>431</v>
      </c>
      <c r="I12" t="s">
        <v>27</v>
      </c>
      <c r="J12" s="42">
        <f>'Chiffres '!L52</f>
        <v>5243</v>
      </c>
      <c r="K12" s="30">
        <f>'Chiffres '!N52</f>
        <v>8.2299999999999998E-2</v>
      </c>
      <c r="L12" s="36">
        <f>ROUND(J12*K12,0)</f>
        <v>431</v>
      </c>
      <c r="M12" s="1" t="s">
        <v>22</v>
      </c>
      <c r="N12" s="36" t="e">
        <f>ROUND(REV_CONV_RIOGA*1.95%,0)</f>
        <v>#DIV/0!</v>
      </c>
      <c r="O12" s="36" t="e">
        <f>L12-N12</f>
        <v>#DIV/0!</v>
      </c>
    </row>
    <row r="13" spans="1:15">
      <c r="A13" t="s">
        <v>28</v>
      </c>
      <c r="B13" s="1">
        <f>'Chiffres '!C58</f>
        <v>5243</v>
      </c>
      <c r="C13" s="30">
        <f>'Chiffres '!E58</f>
        <v>1.8700000000000001E-2</v>
      </c>
      <c r="D13" s="21">
        <f>ROUND(B13*C13,0)</f>
        <v>98</v>
      </c>
      <c r="E13" s="32" t="s">
        <v>22</v>
      </c>
      <c r="F13" s="21">
        <f>ROUND(REV_CONV*0.28%,0)</f>
        <v>0</v>
      </c>
      <c r="G13" s="21">
        <f>D13-F13</f>
        <v>98</v>
      </c>
      <c r="I13" t="s">
        <v>28</v>
      </c>
      <c r="J13" s="42">
        <f>'Chiffres '!L58</f>
        <v>5243</v>
      </c>
      <c r="K13" s="30">
        <f>'Chiffres '!N58</f>
        <v>1.8700000000000001E-2</v>
      </c>
      <c r="L13" s="36">
        <f>ROUND(J13*K13,0)</f>
        <v>98</v>
      </c>
      <c r="M13" s="1" t="s">
        <v>22</v>
      </c>
      <c r="N13" s="36" t="e">
        <f>ROUND(REV_CONV_RIOGA*0.28%,0)</f>
        <v>#DIV/0!</v>
      </c>
      <c r="O13" s="36" t="e">
        <f>L13-N13</f>
        <v>#DIV/0!</v>
      </c>
    </row>
    <row r="14" spans="1:15">
      <c r="A14" t="s">
        <v>30</v>
      </c>
      <c r="B14" s="1">
        <f>'Chiffres '!C67</f>
        <v>0</v>
      </c>
      <c r="C14" s="30">
        <f>'Chiffres '!D65</f>
        <v>0.10199999999999999</v>
      </c>
      <c r="D14" s="21">
        <f>ROUND(B14*C14,0)</f>
        <v>0</v>
      </c>
      <c r="E14" s="32"/>
      <c r="F14" s="21"/>
      <c r="G14" s="21">
        <f>D14</f>
        <v>0</v>
      </c>
      <c r="I14" t="s">
        <v>30</v>
      </c>
      <c r="J14" s="42">
        <f>'Chiffres '!L67</f>
        <v>0</v>
      </c>
      <c r="K14" s="30">
        <f>'Chiffres '!M65</f>
        <v>0.10199999999999999</v>
      </c>
      <c r="L14" s="36">
        <f>ROUND(J14*K14,0)</f>
        <v>0</v>
      </c>
      <c r="M14" s="1"/>
      <c r="N14" s="36"/>
      <c r="O14" s="36">
        <f>L14</f>
        <v>0</v>
      </c>
    </row>
    <row r="15" spans="1:15">
      <c r="A15" t="s">
        <v>32</v>
      </c>
      <c r="B15" s="1"/>
      <c r="C15" s="1"/>
      <c r="D15" s="21"/>
      <c r="E15" s="32"/>
      <c r="F15" s="21"/>
      <c r="G15" s="21">
        <f>'Chiffres '!E73</f>
        <v>631</v>
      </c>
      <c r="I15" t="s">
        <v>32</v>
      </c>
      <c r="J15" s="42"/>
      <c r="K15" s="1"/>
      <c r="L15" s="36"/>
      <c r="M15" s="1"/>
      <c r="N15" s="36"/>
      <c r="O15" s="36">
        <f>'Chiffres '!N73</f>
        <v>631</v>
      </c>
    </row>
    <row r="16" spans="1:15">
      <c r="A16" t="s">
        <v>34</v>
      </c>
      <c r="B16" s="1"/>
      <c r="C16" s="1"/>
      <c r="D16" s="21">
        <f>'Chiffres '!B75</f>
        <v>5421</v>
      </c>
      <c r="E16" s="32"/>
      <c r="F16" s="21">
        <f>'Chiffres '!B76</f>
        <v>3614</v>
      </c>
      <c r="G16" s="21">
        <f>D16-F16</f>
        <v>1807</v>
      </c>
      <c r="I16" t="s">
        <v>34</v>
      </c>
      <c r="J16" s="42"/>
      <c r="K16" s="1"/>
      <c r="L16" s="36">
        <f>D16</f>
        <v>5421</v>
      </c>
      <c r="M16" s="1"/>
      <c r="N16" s="36">
        <f>F16</f>
        <v>3614</v>
      </c>
      <c r="O16" s="36">
        <f>L16-N16</f>
        <v>1807</v>
      </c>
    </row>
    <row r="17" spans="1:15">
      <c r="A17" t="s">
        <v>37</v>
      </c>
      <c r="B17" s="1">
        <f>'Chiffres '!C81</f>
        <v>0</v>
      </c>
      <c r="C17" s="30">
        <f>'Chiffres '!E81</f>
        <v>0</v>
      </c>
      <c r="D17" s="21">
        <f>ROUND(B17*C17,0)</f>
        <v>0</v>
      </c>
      <c r="E17" s="32" t="s">
        <v>22</v>
      </c>
      <c r="F17" s="21">
        <f>IF(REVENU&lt;1,0,ROUND(REV_CONV*'Chiffres '!B82,0))</f>
        <v>0</v>
      </c>
      <c r="G17" s="21">
        <f>D17-F17</f>
        <v>0</v>
      </c>
      <c r="I17" t="s">
        <v>37</v>
      </c>
      <c r="J17" s="42">
        <f>'Chiffres '!L81</f>
        <v>0</v>
      </c>
      <c r="K17" s="30">
        <f>'Chiffres '!N81</f>
        <v>0</v>
      </c>
      <c r="L17" s="36">
        <f>ROUND(J17*K17,0)</f>
        <v>0</v>
      </c>
      <c r="M17" s="1"/>
      <c r="N17" s="36">
        <f>IF(REVENU_RIOGA&lt;1,0,ROUND(REV_CONV_RIOGA*'Chiffres '!B82,0))</f>
        <v>0</v>
      </c>
      <c r="O17" s="36">
        <f>L17-N17</f>
        <v>0</v>
      </c>
    </row>
    <row r="18" spans="1:15">
      <c r="A18" s="17" t="s">
        <v>39</v>
      </c>
      <c r="B18" s="17"/>
      <c r="C18" s="17"/>
      <c r="D18" s="17"/>
      <c r="E18" s="17"/>
      <c r="F18" s="17"/>
      <c r="G18" s="22">
        <f>SUM(G12:G17)</f>
        <v>2967</v>
      </c>
      <c r="I18" s="17" t="s">
        <v>39</v>
      </c>
      <c r="J18" s="28"/>
      <c r="K18" s="28"/>
      <c r="L18" s="28"/>
      <c r="M18" s="28"/>
      <c r="N18" s="28"/>
      <c r="O18" s="37" t="e">
        <f>SUM(O12:O17)</f>
        <v>#DIV/0!</v>
      </c>
    </row>
    <row r="20" spans="1:15">
      <c r="A20" s="24" t="s">
        <v>59</v>
      </c>
      <c r="B20" s="24"/>
      <c r="C20" s="24"/>
      <c r="D20" s="24"/>
      <c r="E20" s="24"/>
      <c r="F20" s="24"/>
      <c r="G20" s="23" t="e">
        <f>G18+G11</f>
        <v>#DIV/0!</v>
      </c>
      <c r="I20" s="24" t="s">
        <v>59</v>
      </c>
      <c r="J20" s="24"/>
      <c r="K20" s="24"/>
      <c r="L20" s="24"/>
      <c r="M20" s="24"/>
      <c r="N20" s="24"/>
      <c r="O20" s="23" t="e">
        <f>O18+O11</f>
        <v>#DIV/0!</v>
      </c>
    </row>
    <row r="22" spans="1:15" ht="15.75">
      <c r="A22" s="27" t="s">
        <v>127</v>
      </c>
      <c r="B22" s="26"/>
      <c r="C22" s="26"/>
      <c r="D22" s="26"/>
      <c r="E22" s="26"/>
      <c r="F22" s="26"/>
      <c r="G22" s="25" t="e">
        <f>G20-O20</f>
        <v>#DIV/0!</v>
      </c>
    </row>
    <row r="24" spans="1:15" ht="15.75">
      <c r="A24" s="27" t="s">
        <v>128</v>
      </c>
      <c r="B24" s="26"/>
      <c r="C24" s="26"/>
      <c r="D24" s="26"/>
      <c r="E24" s="26"/>
      <c r="F24" s="26"/>
      <c r="G24" s="25">
        <f>-'Chiffres '!L1</f>
        <v>0</v>
      </c>
    </row>
    <row r="26" spans="1:15" ht="15.75">
      <c r="A26" s="27" t="s">
        <v>129</v>
      </c>
      <c r="B26" s="26"/>
      <c r="C26" s="26"/>
      <c r="D26" s="26"/>
      <c r="E26" s="26"/>
      <c r="F26" s="26"/>
      <c r="G26" s="25">
        <f>RIOGA</f>
        <v>0</v>
      </c>
    </row>
    <row r="27" spans="1:15">
      <c r="A27" t="str">
        <f>"- SURCOÛT CHARGES SOCIALES"</f>
        <v>- SURCOÛT CHARGES SOCIALES</v>
      </c>
      <c r="G27" s="49" t="e">
        <f>G22</f>
        <v>#DIV/0!</v>
      </c>
    </row>
    <row r="28" spans="1:15">
      <c r="A28" t="str">
        <f>"- SURCOÛT IR"</f>
        <v>- SURCOÛT IR</v>
      </c>
      <c r="G28" s="49">
        <f>+G24</f>
        <v>0</v>
      </c>
    </row>
    <row r="29" spans="1:15">
      <c r="A29" t="s">
        <v>130</v>
      </c>
      <c r="G29" s="49" t="e">
        <f>SUM(G26:G28)</f>
        <v>#DIV/0!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9"/>
  <sheetViews>
    <sheetView workbookViewId="0">
      <selection activeCell="J11" sqref="J11"/>
    </sheetView>
  </sheetViews>
  <sheetFormatPr baseColWidth="10" defaultRowHeight="15"/>
  <cols>
    <col min="1" max="1" width="37.140625" bestFit="1" customWidth="1"/>
    <col min="2" max="6" width="12.7109375" customWidth="1"/>
    <col min="7" max="7" width="15.7109375" customWidth="1"/>
    <col min="8" max="8" width="3.28515625" customWidth="1"/>
    <col min="9" max="9" width="32.85546875" bestFit="1" customWidth="1"/>
    <col min="10" max="14" width="12.7109375" customWidth="1"/>
    <col min="15" max="15" width="15.7109375" customWidth="1"/>
  </cols>
  <sheetData>
    <row r="2" spans="1:15" ht="20.100000000000001" customHeight="1">
      <c r="A2" s="127" t="s">
        <v>62</v>
      </c>
      <c r="B2" s="127"/>
      <c r="C2" s="127"/>
      <c r="D2" s="127"/>
      <c r="E2" s="127"/>
      <c r="F2" s="127"/>
      <c r="G2" s="127"/>
      <c r="I2" s="127" t="s">
        <v>63</v>
      </c>
      <c r="J2" s="127"/>
      <c r="K2" s="127"/>
      <c r="L2" s="127"/>
      <c r="M2" s="127"/>
      <c r="N2" s="127"/>
      <c r="O2" s="127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73</v>
      </c>
      <c r="B4" s="44">
        <f>'9-CIPAV'!B4</f>
        <v>0</v>
      </c>
      <c r="C4" s="30">
        <f>'Chiffres '!E30</f>
        <v>0</v>
      </c>
      <c r="D4" s="40">
        <f>G4</f>
        <v>0</v>
      </c>
      <c r="E4" s="30"/>
      <c r="F4" s="30"/>
      <c r="G4" s="21">
        <f>ROUND(B4*C4,0)</f>
        <v>0</v>
      </c>
      <c r="I4" t="s">
        <v>73</v>
      </c>
      <c r="J4" s="1">
        <f>'9-CIPAV'!J4</f>
        <v>0</v>
      </c>
      <c r="K4" s="30">
        <f>'Chiffres '!N30</f>
        <v>0</v>
      </c>
      <c r="L4" s="40">
        <f>O4</f>
        <v>0</v>
      </c>
      <c r="M4" s="30"/>
      <c r="N4" s="30"/>
      <c r="O4" s="21">
        <f t="shared" ref="O4:O14" si="0">ROUND(J4*K4,0)</f>
        <v>0</v>
      </c>
    </row>
    <row r="5" spans="1:15">
      <c r="A5" t="s">
        <v>20</v>
      </c>
      <c r="B5" s="1">
        <f>'Chiffres '!C36</f>
        <v>18547</v>
      </c>
      <c r="C5" s="30">
        <f>'Chiffres '!D34</f>
        <v>3.0000000000000001E-3</v>
      </c>
      <c r="D5" s="40">
        <f t="shared" ref="D5:D10" si="1">G5</f>
        <v>56</v>
      </c>
      <c r="E5" s="30"/>
      <c r="F5" s="30"/>
      <c r="G5" s="21">
        <f t="shared" ref="G5:G14" si="2">ROUND(B5*C5,0)</f>
        <v>56</v>
      </c>
      <c r="I5" t="s">
        <v>20</v>
      </c>
      <c r="J5" s="1">
        <f>'Chiffres '!L36</f>
        <v>18547</v>
      </c>
      <c r="K5" s="30">
        <f>'Chiffres '!N36</f>
        <v>3.0000000000000001E-3</v>
      </c>
      <c r="L5" s="40">
        <f t="shared" ref="L5:L10" si="3">O5</f>
        <v>56</v>
      </c>
      <c r="M5" s="30"/>
      <c r="N5" s="30"/>
      <c r="O5" s="21">
        <f t="shared" si="0"/>
        <v>56</v>
      </c>
    </row>
    <row r="6" spans="1:15">
      <c r="A6" t="s">
        <v>72</v>
      </c>
      <c r="B6" s="1">
        <f>'9-CIPAV'!B4</f>
        <v>0</v>
      </c>
      <c r="C6" s="30">
        <v>3.2500000000000001E-2</v>
      </c>
      <c r="D6" s="40">
        <f t="shared" si="1"/>
        <v>0</v>
      </c>
      <c r="E6" s="30"/>
      <c r="F6" s="30"/>
      <c r="G6" s="21">
        <f t="shared" si="2"/>
        <v>0</v>
      </c>
      <c r="I6" t="s">
        <v>72</v>
      </c>
      <c r="J6" s="1">
        <f>J4</f>
        <v>0</v>
      </c>
      <c r="K6" s="30">
        <v>3.2500000000000001E-2</v>
      </c>
      <c r="L6" s="40">
        <f t="shared" si="3"/>
        <v>0</v>
      </c>
      <c r="M6" s="30"/>
      <c r="N6" s="30"/>
      <c r="O6" s="21">
        <f t="shared" si="0"/>
        <v>0</v>
      </c>
    </row>
    <row r="7" spans="1:15">
      <c r="A7" t="s">
        <v>21</v>
      </c>
      <c r="B7" s="1">
        <f>'9-CIPAV'!B6</f>
        <v>0</v>
      </c>
      <c r="C7" s="31">
        <f>'Chiffres '!E42</f>
        <v>0</v>
      </c>
      <c r="D7" s="40">
        <f t="shared" si="1"/>
        <v>0</v>
      </c>
      <c r="E7" s="31"/>
      <c r="F7" s="31"/>
      <c r="G7" s="21">
        <f t="shared" si="2"/>
        <v>0</v>
      </c>
      <c r="I7" t="s">
        <v>21</v>
      </c>
      <c r="J7" s="1">
        <f>J4</f>
        <v>0</v>
      </c>
      <c r="K7" s="30">
        <f>'Chiffres '!N42</f>
        <v>0</v>
      </c>
      <c r="L7" s="40">
        <f t="shared" si="3"/>
        <v>0</v>
      </c>
      <c r="M7" s="30"/>
      <c r="N7" s="30"/>
      <c r="O7" s="21">
        <f t="shared" si="0"/>
        <v>0</v>
      </c>
    </row>
    <row r="8" spans="1:15">
      <c r="A8" t="s">
        <v>12</v>
      </c>
      <c r="B8" s="1">
        <f>PASS</f>
        <v>46368</v>
      </c>
      <c r="C8" s="30">
        <f>'Chiffres '!D45</f>
        <v>2.5000000000000001E-3</v>
      </c>
      <c r="D8" s="40">
        <f t="shared" si="1"/>
        <v>116</v>
      </c>
      <c r="E8" s="30"/>
      <c r="F8" s="30"/>
      <c r="G8" s="21">
        <f t="shared" si="2"/>
        <v>116</v>
      </c>
      <c r="I8" t="s">
        <v>12</v>
      </c>
      <c r="J8" s="1">
        <f>PASS</f>
        <v>46368</v>
      </c>
      <c r="K8" s="30">
        <f>'Chiffres '!D45</f>
        <v>2.5000000000000001E-3</v>
      </c>
      <c r="L8" s="40">
        <f t="shared" si="3"/>
        <v>116</v>
      </c>
      <c r="M8" s="30"/>
      <c r="N8" s="30"/>
      <c r="O8" s="21">
        <f t="shared" si="0"/>
        <v>116</v>
      </c>
    </row>
    <row r="9" spans="1:15">
      <c r="A9" t="s">
        <v>23</v>
      </c>
      <c r="B9" s="44">
        <f>B4</f>
        <v>0</v>
      </c>
      <c r="C9" s="30">
        <v>5.0000000000000001E-3</v>
      </c>
      <c r="D9" s="40">
        <f t="shared" si="1"/>
        <v>0</v>
      </c>
      <c r="E9" s="30"/>
      <c r="F9" s="30"/>
      <c r="G9" s="21">
        <f t="shared" si="2"/>
        <v>0</v>
      </c>
      <c r="I9" t="s">
        <v>23</v>
      </c>
      <c r="J9" s="1">
        <f>J4</f>
        <v>0</v>
      </c>
      <c r="K9" s="30">
        <v>5.0000000000000001E-3</v>
      </c>
      <c r="L9" s="40">
        <f t="shared" si="3"/>
        <v>0</v>
      </c>
      <c r="M9" s="30"/>
      <c r="N9" s="30"/>
      <c r="O9" s="21">
        <f t="shared" si="0"/>
        <v>0</v>
      </c>
    </row>
    <row r="10" spans="1:15">
      <c r="A10" t="s">
        <v>11</v>
      </c>
      <c r="B10" s="1">
        <f>IF(REVENU+CSP_OBLIG&lt;0,0,REVENU+CSP_OBLIG)</f>
        <v>0</v>
      </c>
      <c r="C10" s="30">
        <f>'Chiffres '!D43</f>
        <v>9.7000000000000003E-2</v>
      </c>
      <c r="D10" s="40">
        <f t="shared" si="1"/>
        <v>0</v>
      </c>
      <c r="E10" s="30"/>
      <c r="F10" s="30"/>
      <c r="G10" s="21">
        <f t="shared" si="2"/>
        <v>0</v>
      </c>
      <c r="I10" t="s">
        <v>11</v>
      </c>
      <c r="J10" s="1">
        <f>IF(REVENU_RIOGA+CSP_OBLIG&lt;0,0,REVENU_RIOGA+CSP_OBLIG)</f>
        <v>0</v>
      </c>
      <c r="K10" s="30">
        <f>'Chiffres '!D43</f>
        <v>9.7000000000000003E-2</v>
      </c>
      <c r="L10" s="40">
        <f t="shared" si="3"/>
        <v>0</v>
      </c>
      <c r="M10" s="30"/>
      <c r="N10" s="30"/>
      <c r="O10" s="21">
        <f t="shared" si="0"/>
        <v>0</v>
      </c>
    </row>
    <row r="11" spans="1:15">
      <c r="A11" s="17" t="s">
        <v>24</v>
      </c>
      <c r="B11" s="28"/>
      <c r="C11" s="28"/>
      <c r="D11" s="28"/>
      <c r="E11" s="28"/>
      <c r="F11" s="28"/>
      <c r="G11" s="22">
        <f>SUM(G4:G10)</f>
        <v>172</v>
      </c>
      <c r="I11" s="17" t="s">
        <v>24</v>
      </c>
      <c r="J11" s="28"/>
      <c r="K11" s="28"/>
      <c r="L11" s="28"/>
      <c r="M11" s="28"/>
      <c r="N11" s="28"/>
      <c r="O11" s="22">
        <f>SUM(O4:O10)</f>
        <v>172</v>
      </c>
    </row>
    <row r="12" spans="1:15">
      <c r="A12" t="s">
        <v>27</v>
      </c>
      <c r="B12" s="1">
        <f>'6-MédS1'!B12</f>
        <v>5243</v>
      </c>
      <c r="C12" s="30">
        <f>'6-MédS1'!C12</f>
        <v>8.2299999999999998E-2</v>
      </c>
      <c r="D12" s="40">
        <f>G12</f>
        <v>431</v>
      </c>
      <c r="E12" s="30"/>
      <c r="F12" s="30"/>
      <c r="G12" s="21">
        <f t="shared" si="2"/>
        <v>431</v>
      </c>
      <c r="I12" t="s">
        <v>27</v>
      </c>
      <c r="J12" s="1">
        <f>'6-MédS1'!J12</f>
        <v>5243</v>
      </c>
      <c r="K12" s="30">
        <f>'6-MédS1'!K12</f>
        <v>8.2299999999999998E-2</v>
      </c>
      <c r="L12" s="40">
        <f>O12</f>
        <v>431</v>
      </c>
      <c r="M12" s="30"/>
      <c r="N12" s="30"/>
      <c r="O12" s="21">
        <f t="shared" si="0"/>
        <v>431</v>
      </c>
    </row>
    <row r="13" spans="1:15">
      <c r="A13" t="s">
        <v>28</v>
      </c>
      <c r="B13" s="1">
        <f>'6-MédS1'!B13</f>
        <v>5243</v>
      </c>
      <c r="C13" s="30">
        <f>'6-MédS1'!C13</f>
        <v>1.8700000000000001E-2</v>
      </c>
      <c r="D13" s="40">
        <f t="shared" ref="D13:D17" si="4">G13</f>
        <v>98</v>
      </c>
      <c r="E13" s="30"/>
      <c r="F13" s="30"/>
      <c r="G13" s="21">
        <f t="shared" si="2"/>
        <v>98</v>
      </c>
      <c r="I13" t="s">
        <v>28</v>
      </c>
      <c r="J13" s="1">
        <f>'6-MédS1'!J13</f>
        <v>5243</v>
      </c>
      <c r="K13" s="30">
        <f>'6-MédS1'!K13</f>
        <v>1.8700000000000001E-2</v>
      </c>
      <c r="L13" s="40">
        <f t="shared" ref="L13:L17" si="5">O13</f>
        <v>98</v>
      </c>
      <c r="M13" s="30"/>
      <c r="N13" s="30"/>
      <c r="O13" s="21">
        <f t="shared" si="0"/>
        <v>98</v>
      </c>
    </row>
    <row r="14" spans="1:15">
      <c r="A14" t="s">
        <v>30</v>
      </c>
      <c r="B14" s="1">
        <f>'6-MédS1'!B14</f>
        <v>0</v>
      </c>
      <c r="C14" s="30">
        <f>'6-MédS1'!C14</f>
        <v>0.10199999999999999</v>
      </c>
      <c r="D14" s="40">
        <f t="shared" si="4"/>
        <v>0</v>
      </c>
      <c r="E14" s="30"/>
      <c r="F14" s="30"/>
      <c r="G14" s="21">
        <f t="shared" si="2"/>
        <v>0</v>
      </c>
      <c r="I14" t="s">
        <v>30</v>
      </c>
      <c r="J14" s="1">
        <f>'6-MédS1'!J14</f>
        <v>0</v>
      </c>
      <c r="K14" s="30">
        <f>'6-MédS1'!K14</f>
        <v>0.10199999999999999</v>
      </c>
      <c r="L14" s="40">
        <f t="shared" si="5"/>
        <v>0</v>
      </c>
      <c r="M14" s="34"/>
      <c r="N14" s="34"/>
      <c r="O14" s="21">
        <f t="shared" si="0"/>
        <v>0</v>
      </c>
    </row>
    <row r="15" spans="1:15">
      <c r="A15" t="s">
        <v>32</v>
      </c>
      <c r="B15" s="1"/>
      <c r="C15" s="1"/>
      <c r="D15" s="40">
        <f t="shared" si="4"/>
        <v>631</v>
      </c>
      <c r="E15" s="1"/>
      <c r="F15" s="1"/>
      <c r="G15" s="21">
        <f>'6-MédS1'!G15</f>
        <v>631</v>
      </c>
      <c r="I15" t="s">
        <v>32</v>
      </c>
      <c r="J15" s="1"/>
      <c r="K15" s="1"/>
      <c r="L15" s="40">
        <f t="shared" si="5"/>
        <v>631</v>
      </c>
      <c r="M15" s="1"/>
      <c r="N15" s="1"/>
      <c r="O15" s="21">
        <f>'6-MédS1'!O15</f>
        <v>631</v>
      </c>
    </row>
    <row r="16" spans="1:15">
      <c r="A16" t="s">
        <v>34</v>
      </c>
      <c r="B16" s="1"/>
      <c r="C16" s="1"/>
      <c r="D16" s="40">
        <f t="shared" si="4"/>
        <v>5421</v>
      </c>
      <c r="E16" s="1"/>
      <c r="F16" s="1"/>
      <c r="G16" s="21">
        <f>'Chiffres '!B75</f>
        <v>5421</v>
      </c>
      <c r="I16" t="s">
        <v>34</v>
      </c>
      <c r="J16" s="1"/>
      <c r="K16" s="1"/>
      <c r="L16" s="40">
        <f t="shared" si="5"/>
        <v>5421</v>
      </c>
      <c r="M16" s="1"/>
      <c r="N16" s="1"/>
      <c r="O16" s="21">
        <f>'6-MédS1'!L16</f>
        <v>5421</v>
      </c>
    </row>
    <row r="17" spans="1:15">
      <c r="A17" t="s">
        <v>37</v>
      </c>
      <c r="B17" s="1">
        <f>'6-MédS1'!B17</f>
        <v>0</v>
      </c>
      <c r="C17" s="30">
        <f>'6-MédS1'!C17</f>
        <v>0</v>
      </c>
      <c r="D17" s="40">
        <f t="shared" si="4"/>
        <v>0</v>
      </c>
      <c r="E17" s="30"/>
      <c r="F17" s="30"/>
      <c r="G17" s="21">
        <f t="shared" ref="G17" si="6">ROUND(B17*C17,0)</f>
        <v>0</v>
      </c>
      <c r="I17" t="s">
        <v>37</v>
      </c>
      <c r="J17" s="1">
        <f>'6-MédS1'!J17</f>
        <v>0</v>
      </c>
      <c r="K17" s="30">
        <f>'6-MédS1'!K17</f>
        <v>0</v>
      </c>
      <c r="L17" s="40">
        <f t="shared" si="5"/>
        <v>0</v>
      </c>
      <c r="M17" s="30"/>
      <c r="N17" s="30"/>
      <c r="O17" s="21">
        <f t="shared" ref="O17" si="7">ROUND(J17*K17,0)</f>
        <v>0</v>
      </c>
    </row>
    <row r="18" spans="1:15">
      <c r="A18" s="17" t="s">
        <v>39</v>
      </c>
      <c r="B18" s="17"/>
      <c r="C18" s="17"/>
      <c r="D18" s="17"/>
      <c r="E18" s="17"/>
      <c r="F18" s="17"/>
      <c r="G18" s="22">
        <f>SUM(G12:G17)</f>
        <v>6581</v>
      </c>
      <c r="I18" s="17" t="s">
        <v>39</v>
      </c>
      <c r="J18" s="17"/>
      <c r="K18" s="17"/>
      <c r="L18" s="17"/>
      <c r="M18" s="17"/>
      <c r="N18" s="17"/>
      <c r="O18" s="22">
        <f>SUM(O12:O17)</f>
        <v>6581</v>
      </c>
    </row>
    <row r="20" spans="1:15">
      <c r="A20" s="24" t="s">
        <v>59</v>
      </c>
      <c r="B20" s="24"/>
      <c r="C20" s="24"/>
      <c r="D20" s="24"/>
      <c r="E20" s="24"/>
      <c r="F20" s="24"/>
      <c r="G20" s="23">
        <f>G18+G11</f>
        <v>6753</v>
      </c>
      <c r="I20" s="24" t="s">
        <v>59</v>
      </c>
      <c r="J20" s="24"/>
      <c r="K20" s="24"/>
      <c r="L20" s="24"/>
      <c r="M20" s="24"/>
      <c r="N20" s="24"/>
      <c r="O20" s="23">
        <f>O18+O11</f>
        <v>6753</v>
      </c>
    </row>
    <row r="22" spans="1:15" ht="15.75">
      <c r="A22" s="27" t="s">
        <v>127</v>
      </c>
      <c r="B22" s="26"/>
      <c r="C22" s="26"/>
      <c r="D22" s="26"/>
      <c r="E22" s="26"/>
      <c r="F22" s="26"/>
      <c r="G22" s="25">
        <f>G20-O20</f>
        <v>0</v>
      </c>
    </row>
    <row r="24" spans="1:15" ht="15.75">
      <c r="A24" s="27" t="s">
        <v>128</v>
      </c>
      <c r="B24" s="26"/>
      <c r="C24" s="26"/>
      <c r="D24" s="26"/>
      <c r="E24" s="26"/>
      <c r="F24" s="26"/>
      <c r="G24" s="25">
        <f>-'Chiffres '!L1</f>
        <v>0</v>
      </c>
    </row>
    <row r="26" spans="1:15" ht="15.75">
      <c r="A26" s="27" t="s">
        <v>129</v>
      </c>
      <c r="B26" s="26"/>
      <c r="C26" s="26"/>
      <c r="D26" s="26"/>
      <c r="E26" s="26"/>
      <c r="F26" s="26"/>
      <c r="G26" s="25">
        <f>RIOGA</f>
        <v>0</v>
      </c>
    </row>
    <row r="27" spans="1:15">
      <c r="A27" t="str">
        <f>"- SURCOÛT CHARGES SOCIALES"</f>
        <v>- SURCOÛT CHARGES SOCIALES</v>
      </c>
      <c r="G27" s="49">
        <f>G22</f>
        <v>0</v>
      </c>
    </row>
    <row r="28" spans="1:15">
      <c r="A28" t="str">
        <f>"- SURCOÛT IR"</f>
        <v>- SURCOÛT IR</v>
      </c>
      <c r="G28" s="49">
        <f>+G24</f>
        <v>0</v>
      </c>
    </row>
    <row r="29" spans="1:15">
      <c r="A29" t="s">
        <v>130</v>
      </c>
      <c r="G29" s="49">
        <f>SUM(G26:G28)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0"/>
  <sheetViews>
    <sheetView workbookViewId="0">
      <selection activeCell="J7" sqref="J7"/>
    </sheetView>
  </sheetViews>
  <sheetFormatPr baseColWidth="10" defaultRowHeight="15"/>
  <cols>
    <col min="1" max="1" width="37.140625" bestFit="1" customWidth="1"/>
    <col min="2" max="2" width="12.85546875" bestFit="1" customWidth="1"/>
    <col min="4" max="4" width="11.85546875" bestFit="1" customWidth="1"/>
    <col min="6" max="7" width="11.85546875" bestFit="1" customWidth="1"/>
    <col min="8" max="8" width="3.28515625" customWidth="1"/>
    <col min="9" max="9" width="35.5703125" bestFit="1" customWidth="1"/>
    <col min="10" max="10" width="11.85546875" bestFit="1" customWidth="1"/>
  </cols>
  <sheetData>
    <row r="2" spans="1:15" s="35" customFormat="1" ht="20.100000000000001" customHeight="1">
      <c r="A2" s="125" t="s">
        <v>62</v>
      </c>
      <c r="B2" s="125"/>
      <c r="C2" s="125"/>
      <c r="D2" s="125"/>
      <c r="E2" s="125"/>
      <c r="F2" s="125"/>
      <c r="G2" s="125"/>
      <c r="I2" s="125" t="s">
        <v>63</v>
      </c>
      <c r="J2" s="125"/>
      <c r="K2" s="125"/>
      <c r="L2" s="125"/>
      <c r="M2" s="125"/>
      <c r="N2" s="125"/>
      <c r="O2" s="125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73</v>
      </c>
      <c r="B4" s="42">
        <f>'3-Chir_dent'!B4</f>
        <v>0</v>
      </c>
      <c r="C4" s="30">
        <f>'Chiffres '!E30</f>
        <v>0</v>
      </c>
      <c r="D4" s="36">
        <f t="shared" ref="D4:D15" si="0">ROUND(B4*C4,0)</f>
        <v>0</v>
      </c>
      <c r="E4" s="1" t="s">
        <v>22</v>
      </c>
      <c r="F4" s="36">
        <f>IF(OR(REVENU&lt;1,C4=0),0,ROUND(REV_CONV*('Chiffres '!E30-0.1%),0))</f>
        <v>0</v>
      </c>
      <c r="G4" s="36">
        <f>D4-F4</f>
        <v>0</v>
      </c>
      <c r="I4" t="s">
        <v>73</v>
      </c>
      <c r="J4" s="42">
        <f>'3-Chir_dent'!J4</f>
        <v>0</v>
      </c>
      <c r="K4" s="30">
        <f>'Chiffres '!N30</f>
        <v>0</v>
      </c>
      <c r="L4" s="36">
        <f t="shared" ref="L4:L15" si="1">ROUND(J4*K4,0)</f>
        <v>0</v>
      </c>
      <c r="M4" s="1" t="s">
        <v>22</v>
      </c>
      <c r="N4" s="36">
        <f>IF(OR(REVENU_RIOGA&lt;1,K4=0),0,ROUND(REV_CONV_RIOGA*('Chiffres '!N30-0.1%),0))</f>
        <v>0</v>
      </c>
      <c r="O4" s="36">
        <f>L4-N4</f>
        <v>0</v>
      </c>
    </row>
    <row r="5" spans="1:15">
      <c r="A5" t="s">
        <v>20</v>
      </c>
      <c r="B5" s="42">
        <f>'Chiffres '!C36</f>
        <v>18547</v>
      </c>
      <c r="C5" s="30">
        <f>'Chiffres '!D34</f>
        <v>3.0000000000000001E-3</v>
      </c>
      <c r="D5" s="36">
        <f t="shared" si="0"/>
        <v>56</v>
      </c>
      <c r="E5" s="1"/>
      <c r="F5" s="36"/>
      <c r="G5" s="36">
        <f>D5</f>
        <v>56</v>
      </c>
      <c r="I5" t="s">
        <v>20</v>
      </c>
      <c r="J5" s="42">
        <f>'Chiffres '!L36</f>
        <v>18547</v>
      </c>
      <c r="K5" s="30">
        <f>'Chiffres '!N36</f>
        <v>3.0000000000000001E-3</v>
      </c>
      <c r="L5" s="36">
        <f t="shared" si="1"/>
        <v>56</v>
      </c>
      <c r="M5" s="1"/>
      <c r="N5" s="36"/>
      <c r="O5" s="36">
        <f>L5</f>
        <v>56</v>
      </c>
    </row>
    <row r="6" spans="1:15">
      <c r="A6" t="s">
        <v>72</v>
      </c>
      <c r="B6" s="42">
        <f>IF(REVENU&lt;1,0,'Chiffres '!E6)</f>
        <v>0</v>
      </c>
      <c r="C6" s="30">
        <v>3.2500000000000001E-2</v>
      </c>
      <c r="D6" s="36">
        <f t="shared" si="0"/>
        <v>0</v>
      </c>
      <c r="E6" s="1"/>
      <c r="F6" s="36"/>
      <c r="G6" s="36">
        <f>D6</f>
        <v>0</v>
      </c>
      <c r="I6" t="s">
        <v>72</v>
      </c>
      <c r="J6" s="42">
        <f>IF(REVENU_RIOGA&lt;1,0,'Chiffres '!D6)</f>
        <v>0</v>
      </c>
      <c r="K6" s="30">
        <v>3.2500000000000001E-2</v>
      </c>
      <c r="L6" s="36">
        <f t="shared" si="1"/>
        <v>0</v>
      </c>
      <c r="M6" s="1"/>
      <c r="N6" s="36"/>
      <c r="O6" s="36">
        <f>L6</f>
        <v>0</v>
      </c>
    </row>
    <row r="7" spans="1:15">
      <c r="A7" t="s">
        <v>21</v>
      </c>
      <c r="B7" s="42">
        <f>'3-Chir_dent'!B7</f>
        <v>0</v>
      </c>
      <c r="C7" s="31">
        <f>'Chiffres '!E42</f>
        <v>0</v>
      </c>
      <c r="D7" s="36">
        <f t="shared" si="0"/>
        <v>0</v>
      </c>
      <c r="E7" s="1"/>
      <c r="F7" s="36"/>
      <c r="G7" s="36">
        <f>D7-F7</f>
        <v>0</v>
      </c>
      <c r="I7" t="s">
        <v>21</v>
      </c>
      <c r="J7" s="42">
        <f>'3-Chir_dent'!J7</f>
        <v>0</v>
      </c>
      <c r="K7" s="30">
        <f>'Chiffres '!N42</f>
        <v>0</v>
      </c>
      <c r="L7" s="36">
        <f t="shared" si="1"/>
        <v>0</v>
      </c>
      <c r="M7" s="1"/>
      <c r="N7" s="36"/>
      <c r="O7" s="36">
        <f>L7-N7</f>
        <v>0</v>
      </c>
    </row>
    <row r="8" spans="1:15">
      <c r="A8" t="s">
        <v>12</v>
      </c>
      <c r="B8" s="42">
        <f>PASS</f>
        <v>46368</v>
      </c>
      <c r="C8" s="30">
        <f>'Chiffres '!D45</f>
        <v>2.5000000000000001E-3</v>
      </c>
      <c r="D8" s="36">
        <f t="shared" si="0"/>
        <v>116</v>
      </c>
      <c r="E8" s="1"/>
      <c r="F8" s="36"/>
      <c r="G8" s="36">
        <f>D8</f>
        <v>116</v>
      </c>
      <c r="I8" t="s">
        <v>12</v>
      </c>
      <c r="J8" s="42">
        <f>PASS</f>
        <v>46368</v>
      </c>
      <c r="K8" s="30">
        <f>'Chiffres '!D45</f>
        <v>2.5000000000000001E-3</v>
      </c>
      <c r="L8" s="36">
        <f t="shared" si="1"/>
        <v>116</v>
      </c>
      <c r="M8" s="1"/>
      <c r="N8" s="36"/>
      <c r="O8" s="36">
        <f>L8</f>
        <v>116</v>
      </c>
    </row>
    <row r="9" spans="1:15">
      <c r="A9" t="str">
        <f>IF('Chiffres '!D8=TRUE,"URPS non due car Remplaçant","URPS")</f>
        <v>URPS</v>
      </c>
      <c r="B9" s="42">
        <f>'3-Chir_dent'!B9</f>
        <v>0</v>
      </c>
      <c r="C9" s="30">
        <f>IF('Chiffres '!D8=TRUE,0%,0.1%)</f>
        <v>1E-3</v>
      </c>
      <c r="D9" s="36">
        <f t="shared" si="0"/>
        <v>0</v>
      </c>
      <c r="E9" s="1"/>
      <c r="F9" s="36"/>
      <c r="G9" s="36">
        <f>D9</f>
        <v>0</v>
      </c>
      <c r="I9" t="str">
        <f>IF('Chiffres '!D8=TRUE,"URPS non due car Remplaçant","URPS")</f>
        <v>URPS</v>
      </c>
      <c r="J9" s="42">
        <f>'3-Chir_dent'!J9</f>
        <v>0</v>
      </c>
      <c r="K9" s="30">
        <f>IF('Chiffres '!D8=TRUE,0,0.1%)</f>
        <v>1E-3</v>
      </c>
      <c r="L9" s="36">
        <f t="shared" si="1"/>
        <v>0</v>
      </c>
      <c r="M9" s="1"/>
      <c r="N9" s="36"/>
      <c r="O9" s="36">
        <f>L9</f>
        <v>0</v>
      </c>
    </row>
    <row r="10" spans="1:15">
      <c r="A10" t="s">
        <v>11</v>
      </c>
      <c r="B10" s="42">
        <f>'3-Chir_dent'!B10</f>
        <v>0</v>
      </c>
      <c r="C10" s="30">
        <f>'Chiffres '!D43</f>
        <v>9.7000000000000003E-2</v>
      </c>
      <c r="D10" s="36">
        <f t="shared" si="0"/>
        <v>0</v>
      </c>
      <c r="E10" s="1"/>
      <c r="F10" s="36"/>
      <c r="G10" s="36">
        <f>D10</f>
        <v>0</v>
      </c>
      <c r="I10" t="s">
        <v>11</v>
      </c>
      <c r="J10" s="42">
        <f>'3-Chir_dent'!J10</f>
        <v>0</v>
      </c>
      <c r="K10" s="30">
        <f>'Chiffres '!D43</f>
        <v>9.7000000000000003E-2</v>
      </c>
      <c r="L10" s="36">
        <f t="shared" si="1"/>
        <v>0</v>
      </c>
      <c r="M10" s="1"/>
      <c r="N10" s="36"/>
      <c r="O10" s="36">
        <f>L10</f>
        <v>0</v>
      </c>
    </row>
    <row r="11" spans="1:15" ht="15" customHeight="1">
      <c r="A11" s="17" t="s">
        <v>24</v>
      </c>
      <c r="B11" s="43"/>
      <c r="C11" s="28"/>
      <c r="D11" s="37"/>
      <c r="E11" s="28"/>
      <c r="F11" s="37"/>
      <c r="G11" s="37">
        <f>SUM(G4:G10)</f>
        <v>172</v>
      </c>
      <c r="I11" s="17" t="s">
        <v>24</v>
      </c>
      <c r="J11" s="43"/>
      <c r="K11" s="28"/>
      <c r="L11" s="37"/>
      <c r="M11" s="28"/>
      <c r="N11" s="37"/>
      <c r="O11" s="37">
        <f>SUM(O4:O10)</f>
        <v>172</v>
      </c>
    </row>
    <row r="12" spans="1:15">
      <c r="A12" t="s">
        <v>27</v>
      </c>
      <c r="B12" s="42">
        <f>'Chiffres '!C52</f>
        <v>5243</v>
      </c>
      <c r="C12" s="30">
        <f>'Chiffres '!E52</f>
        <v>8.2299999999999998E-2</v>
      </c>
      <c r="D12" s="36">
        <f t="shared" si="0"/>
        <v>431</v>
      </c>
      <c r="E12" s="1"/>
      <c r="F12" s="36"/>
      <c r="G12" s="36">
        <f>D12</f>
        <v>431</v>
      </c>
      <c r="I12" t="s">
        <v>27</v>
      </c>
      <c r="J12" s="42">
        <f>'Chiffres '!L52</f>
        <v>5243</v>
      </c>
      <c r="K12" s="30">
        <f>'Chiffres '!N52</f>
        <v>8.2299999999999998E-2</v>
      </c>
      <c r="L12" s="36">
        <f t="shared" si="1"/>
        <v>431</v>
      </c>
      <c r="M12" s="1"/>
      <c r="N12" s="36"/>
      <c r="O12" s="36">
        <f>L12</f>
        <v>431</v>
      </c>
    </row>
    <row r="13" spans="1:15">
      <c r="A13" t="s">
        <v>28</v>
      </c>
      <c r="B13" s="42">
        <f>'Chiffres '!C58</f>
        <v>5243</v>
      </c>
      <c r="C13" s="30">
        <f>'Chiffres '!E58</f>
        <v>1.8700000000000001E-2</v>
      </c>
      <c r="D13" s="36">
        <f t="shared" si="0"/>
        <v>98</v>
      </c>
      <c r="E13" s="1"/>
      <c r="F13" s="36"/>
      <c r="G13" s="36">
        <f>D13</f>
        <v>98</v>
      </c>
      <c r="I13" t="s">
        <v>28</v>
      </c>
      <c r="J13" s="42">
        <f>'Chiffres '!L58</f>
        <v>5243</v>
      </c>
      <c r="K13" s="30">
        <f>'Chiffres '!N58</f>
        <v>1.8700000000000001E-2</v>
      </c>
      <c r="L13" s="36">
        <f t="shared" si="1"/>
        <v>98</v>
      </c>
      <c r="M13" s="1"/>
      <c r="N13" s="36"/>
      <c r="O13" s="36">
        <f>L13</f>
        <v>98</v>
      </c>
    </row>
    <row r="14" spans="1:15">
      <c r="A14" t="s">
        <v>40</v>
      </c>
      <c r="B14" s="42"/>
      <c r="C14" s="1"/>
      <c r="D14" s="36">
        <f>G14</f>
        <v>1944</v>
      </c>
      <c r="E14" s="1"/>
      <c r="F14" s="36"/>
      <c r="G14" s="36">
        <f>'Chiffres '!B87</f>
        <v>1944</v>
      </c>
      <c r="I14" t="s">
        <v>40</v>
      </c>
      <c r="J14" s="42"/>
      <c r="K14" s="1"/>
      <c r="L14" s="36">
        <f>O14</f>
        <v>1944</v>
      </c>
      <c r="M14" s="1"/>
      <c r="N14" s="36"/>
      <c r="O14" s="36">
        <f>G14</f>
        <v>1944</v>
      </c>
    </row>
    <row r="15" spans="1:15">
      <c r="A15" t="s">
        <v>41</v>
      </c>
      <c r="B15" s="42">
        <f>'Chiffres '!C93</f>
        <v>0</v>
      </c>
      <c r="C15" s="30">
        <f>'Chiffres '!D90</f>
        <v>0.03</v>
      </c>
      <c r="D15" s="36">
        <f t="shared" si="0"/>
        <v>0</v>
      </c>
      <c r="E15" s="1"/>
      <c r="F15" s="36"/>
      <c r="G15" s="36">
        <f>D15</f>
        <v>0</v>
      </c>
      <c r="I15" t="s">
        <v>41</v>
      </c>
      <c r="J15" s="42">
        <f>'Chiffres '!L93</f>
        <v>0</v>
      </c>
      <c r="K15" s="30">
        <f>'Chiffres '!M90</f>
        <v>0.03</v>
      </c>
      <c r="L15" s="36">
        <f t="shared" si="1"/>
        <v>0</v>
      </c>
      <c r="M15" s="1"/>
      <c r="N15" s="36"/>
      <c r="O15" s="36">
        <f>L15</f>
        <v>0</v>
      </c>
    </row>
    <row r="16" spans="1:15">
      <c r="A16" t="s">
        <v>32</v>
      </c>
      <c r="B16" s="42"/>
      <c r="C16" s="1"/>
      <c r="D16" s="36">
        <f>G16</f>
        <v>862</v>
      </c>
      <c r="E16" s="1"/>
      <c r="F16" s="36"/>
      <c r="G16" s="36">
        <f>'Chiffres '!B95</f>
        <v>862</v>
      </c>
      <c r="I16" t="s">
        <v>32</v>
      </c>
      <c r="J16" s="42"/>
      <c r="K16" s="1"/>
      <c r="L16" s="36">
        <f>O16</f>
        <v>862</v>
      </c>
      <c r="M16" s="1"/>
      <c r="N16" s="36"/>
      <c r="O16" s="36">
        <f>'Chiffres '!B95</f>
        <v>862</v>
      </c>
    </row>
    <row r="17" spans="1:15">
      <c r="A17" t="s">
        <v>44</v>
      </c>
      <c r="B17" s="42"/>
      <c r="C17" s="1"/>
      <c r="D17" s="36">
        <f>'Chiffres '!B97</f>
        <v>634</v>
      </c>
      <c r="E17" s="1" t="s">
        <v>22</v>
      </c>
      <c r="F17" s="36">
        <f>'Chiffres '!D97</f>
        <v>423</v>
      </c>
      <c r="G17" s="36">
        <f>D17-F17</f>
        <v>211</v>
      </c>
      <c r="I17" t="s">
        <v>44</v>
      </c>
      <c r="J17" s="42"/>
      <c r="K17" s="1"/>
      <c r="L17" s="36">
        <f>'Chiffres '!B97</f>
        <v>634</v>
      </c>
      <c r="M17" s="1" t="s">
        <v>22</v>
      </c>
      <c r="N17" s="36">
        <f>'Chiffres '!D97</f>
        <v>423</v>
      </c>
      <c r="O17" s="36">
        <f>L17-N17</f>
        <v>211</v>
      </c>
    </row>
    <row r="18" spans="1:15">
      <c r="A18" t="s">
        <v>43</v>
      </c>
      <c r="B18" s="42">
        <f>B7</f>
        <v>0</v>
      </c>
      <c r="C18" s="30">
        <f>'Chiffres '!B100</f>
        <v>4.0000000000000001E-3</v>
      </c>
      <c r="D18" s="36">
        <f t="shared" ref="D18" si="2">ROUND(B18*C18,0)</f>
        <v>0</v>
      </c>
      <c r="E18" s="1" t="s">
        <v>22</v>
      </c>
      <c r="F18" s="36">
        <f>ROUND(D18*0.6,0)</f>
        <v>0</v>
      </c>
      <c r="G18" s="36">
        <f>D18-F18</f>
        <v>0</v>
      </c>
      <c r="I18" t="s">
        <v>43</v>
      </c>
      <c r="J18" s="42">
        <f>J7</f>
        <v>0</v>
      </c>
      <c r="K18" s="30">
        <f>'Chiffres '!B100</f>
        <v>4.0000000000000001E-3</v>
      </c>
      <c r="L18" s="36">
        <f t="shared" ref="L18" si="3">ROUND(J18*K18,0)</f>
        <v>0</v>
      </c>
      <c r="M18" s="1" t="s">
        <v>22</v>
      </c>
      <c r="N18" s="36">
        <f>ROUND(L18*0.6,0)</f>
        <v>0</v>
      </c>
      <c r="O18" s="36">
        <f>L18-N18</f>
        <v>0</v>
      </c>
    </row>
    <row r="19" spans="1:15" ht="15" customHeight="1">
      <c r="A19" s="17" t="s">
        <v>45</v>
      </c>
      <c r="B19" s="28"/>
      <c r="C19" s="28"/>
      <c r="D19" s="28"/>
      <c r="E19" s="28"/>
      <c r="F19" s="28"/>
      <c r="G19" s="37">
        <f>SUM(G12:G18)</f>
        <v>3546</v>
      </c>
      <c r="I19" s="17" t="s">
        <v>45</v>
      </c>
      <c r="J19" s="28"/>
      <c r="K19" s="28"/>
      <c r="L19" s="28"/>
      <c r="M19" s="28"/>
      <c r="N19" s="28"/>
      <c r="O19" s="37">
        <f>SUM(O12:O18)</f>
        <v>3546</v>
      </c>
    </row>
    <row r="21" spans="1:15">
      <c r="A21" s="24" t="s">
        <v>59</v>
      </c>
      <c r="B21" s="24"/>
      <c r="C21" s="24"/>
      <c r="D21" s="24"/>
      <c r="E21" s="24"/>
      <c r="F21" s="24"/>
      <c r="G21" s="23">
        <f>G19+G11</f>
        <v>3718</v>
      </c>
      <c r="I21" s="24" t="s">
        <v>59</v>
      </c>
      <c r="J21" s="24"/>
      <c r="K21" s="24"/>
      <c r="L21" s="24"/>
      <c r="M21" s="24"/>
      <c r="N21" s="24"/>
      <c r="O21" s="23">
        <f>O19+O11</f>
        <v>3718</v>
      </c>
    </row>
    <row r="23" spans="1:15" ht="15.75">
      <c r="A23" s="27" t="s">
        <v>127</v>
      </c>
      <c r="B23" s="26"/>
      <c r="C23" s="26"/>
      <c r="D23" s="26"/>
      <c r="E23" s="26"/>
      <c r="F23" s="26"/>
      <c r="G23" s="25">
        <f>G21-O21</f>
        <v>0</v>
      </c>
    </row>
    <row r="25" spans="1:15" ht="15.75">
      <c r="A25" s="27" t="s">
        <v>128</v>
      </c>
      <c r="B25" s="26"/>
      <c r="C25" s="26"/>
      <c r="D25" s="26"/>
      <c r="E25" s="26"/>
      <c r="F25" s="26"/>
      <c r="G25" s="25">
        <f>-'Chiffres '!L1</f>
        <v>0</v>
      </c>
    </row>
    <row r="27" spans="1:15" ht="15.75">
      <c r="A27" s="27" t="s">
        <v>129</v>
      </c>
      <c r="B27" s="26"/>
      <c r="C27" s="26"/>
      <c r="D27" s="26"/>
      <c r="E27" s="26"/>
      <c r="F27" s="26"/>
      <c r="G27" s="25">
        <f>RIOGA</f>
        <v>0</v>
      </c>
    </row>
    <row r="28" spans="1:15">
      <c r="A28" t="str">
        <f>"- SURCOÛT CHARGES SOCIALES"</f>
        <v>- SURCOÛT CHARGES SOCIALES</v>
      </c>
      <c r="G28" s="49">
        <f>G23</f>
        <v>0</v>
      </c>
    </row>
    <row r="29" spans="1:15">
      <c r="A29" t="str">
        <f>"- SURCOÛT IR"</f>
        <v>- SURCOÛT IR</v>
      </c>
      <c r="G29" s="49">
        <f>+G25</f>
        <v>0</v>
      </c>
    </row>
    <row r="30" spans="1:15">
      <c r="A30" t="s">
        <v>130</v>
      </c>
      <c r="G30" s="49">
        <f>SUM(G27:G29)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6"/>
  <sheetViews>
    <sheetView workbookViewId="0">
      <selection activeCell="J8" sqref="J8"/>
    </sheetView>
  </sheetViews>
  <sheetFormatPr baseColWidth="10" defaultRowHeight="15"/>
  <cols>
    <col min="1" max="1" width="22.7109375" bestFit="1" customWidth="1"/>
    <col min="7" max="7" width="13.140625" customWidth="1"/>
    <col min="8" max="8" width="3.28515625" customWidth="1"/>
    <col min="9" max="9" width="23.28515625" customWidth="1"/>
    <col min="15" max="15" width="14.7109375" customWidth="1"/>
  </cols>
  <sheetData>
    <row r="2" spans="1:15">
      <c r="A2" s="126" t="s">
        <v>25</v>
      </c>
      <c r="B2" s="126"/>
      <c r="C2" s="126"/>
      <c r="D2" s="126"/>
      <c r="E2" s="126"/>
      <c r="F2" s="126"/>
      <c r="G2" s="126"/>
      <c r="I2" s="126" t="s">
        <v>58</v>
      </c>
      <c r="J2" s="126"/>
      <c r="K2" s="126"/>
      <c r="L2" s="126"/>
      <c r="M2" s="126"/>
      <c r="N2" s="126"/>
      <c r="O2" s="126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18</v>
      </c>
      <c r="B4">
        <f>IF(REVENU&lt;1,0,REVENU)</f>
        <v>0</v>
      </c>
      <c r="C4" s="6">
        <f>'Chiffres '!E30</f>
        <v>0</v>
      </c>
      <c r="D4">
        <f t="shared" ref="D4:D14" si="0">ROUND(B4*C4,0)</f>
        <v>0</v>
      </c>
      <c r="G4" s="19">
        <f>D4</f>
        <v>0</v>
      </c>
      <c r="I4" t="s">
        <v>18</v>
      </c>
      <c r="J4">
        <f>IF(REVENU_RIOGA&lt;1,0,REVENU_RIOGA)</f>
        <v>0</v>
      </c>
      <c r="K4" s="6">
        <f>'Chiffres '!N30</f>
        <v>0</v>
      </c>
      <c r="L4">
        <f t="shared" ref="L4:L14" si="1">ROUND(J4*K4,0)</f>
        <v>0</v>
      </c>
      <c r="O4" s="19">
        <f>L4</f>
        <v>0</v>
      </c>
    </row>
    <row r="5" spans="1:15">
      <c r="A5" t="s">
        <v>20</v>
      </c>
      <c r="B5">
        <f>'Chiffres '!C36</f>
        <v>18547</v>
      </c>
      <c r="C5" s="6">
        <f>'Chiffres '!D34</f>
        <v>3.0000000000000001E-3</v>
      </c>
      <c r="D5">
        <f t="shared" si="0"/>
        <v>56</v>
      </c>
      <c r="G5" s="19">
        <f>D5</f>
        <v>56</v>
      </c>
      <c r="I5" t="s">
        <v>20</v>
      </c>
      <c r="J5">
        <f>'Chiffres '!L36</f>
        <v>18547</v>
      </c>
      <c r="K5" s="6">
        <f>'Chiffres '!N36</f>
        <v>3.0000000000000001E-3</v>
      </c>
      <c r="L5">
        <f t="shared" si="1"/>
        <v>56</v>
      </c>
      <c r="O5" s="19">
        <f>L5</f>
        <v>56</v>
      </c>
    </row>
    <row r="6" spans="1:15">
      <c r="A6" t="s">
        <v>21</v>
      </c>
      <c r="B6">
        <f>IF(REVENU&lt;1,0,REVENU)</f>
        <v>0</v>
      </c>
      <c r="C6" s="15">
        <f>'Chiffres '!E42</f>
        <v>0</v>
      </c>
      <c r="D6">
        <f t="shared" si="0"/>
        <v>0</v>
      </c>
      <c r="G6" s="19">
        <f>D6-F6</f>
        <v>0</v>
      </c>
      <c r="I6" t="s">
        <v>21</v>
      </c>
      <c r="J6">
        <f>J4</f>
        <v>0</v>
      </c>
      <c r="K6" s="6">
        <f>'Chiffres '!N42</f>
        <v>0</v>
      </c>
      <c r="L6">
        <f t="shared" si="1"/>
        <v>0</v>
      </c>
      <c r="O6" s="19">
        <f>L6-N6</f>
        <v>0</v>
      </c>
    </row>
    <row r="7" spans="1:15">
      <c r="A7" t="s">
        <v>12</v>
      </c>
      <c r="B7">
        <f>PASS</f>
        <v>46368</v>
      </c>
      <c r="C7" s="6">
        <f>'Chiffres '!D45</f>
        <v>2.5000000000000001E-3</v>
      </c>
      <c r="D7">
        <f t="shared" si="0"/>
        <v>116</v>
      </c>
      <c r="G7" s="19">
        <f>D7</f>
        <v>116</v>
      </c>
      <c r="I7" t="s">
        <v>12</v>
      </c>
      <c r="J7">
        <f>PASS</f>
        <v>46368</v>
      </c>
      <c r="K7" s="6">
        <f>'Chiffres '!D45</f>
        <v>2.5000000000000001E-3</v>
      </c>
      <c r="L7">
        <f t="shared" si="1"/>
        <v>116</v>
      </c>
      <c r="O7" s="19">
        <f>L7</f>
        <v>116</v>
      </c>
    </row>
    <row r="8" spans="1:15">
      <c r="A8" t="s">
        <v>11</v>
      </c>
      <c r="B8">
        <f>IF(REVENU+CSP_OBLIG&lt;1,0,REVENU+CSP_OBLIG)</f>
        <v>0</v>
      </c>
      <c r="C8" s="6">
        <f>'Chiffres '!D43</f>
        <v>9.7000000000000003E-2</v>
      </c>
      <c r="D8">
        <f t="shared" si="0"/>
        <v>0</v>
      </c>
      <c r="G8" s="19">
        <f>D8</f>
        <v>0</v>
      </c>
      <c r="I8" t="s">
        <v>11</v>
      </c>
      <c r="J8">
        <f>IF(REVENU_RIOGA+CSP_OBLIG&lt;1,0,REVENU_RIOGA+CSP_OBLIG)</f>
        <v>0</v>
      </c>
      <c r="K8" s="6">
        <f>'Chiffres '!D43</f>
        <v>9.7000000000000003E-2</v>
      </c>
      <c r="L8">
        <f t="shared" si="1"/>
        <v>0</v>
      </c>
      <c r="O8" s="19">
        <f>L8</f>
        <v>0</v>
      </c>
    </row>
    <row r="9" spans="1:15">
      <c r="A9" s="17" t="s">
        <v>24</v>
      </c>
      <c r="B9" s="17"/>
      <c r="C9" s="17"/>
      <c r="D9" s="17"/>
      <c r="E9" s="17"/>
      <c r="F9" s="17"/>
      <c r="G9" s="20">
        <f>SUM(G4:G8)</f>
        <v>172</v>
      </c>
      <c r="H9" s="18"/>
      <c r="I9" s="17" t="s">
        <v>24</v>
      </c>
      <c r="J9" s="17"/>
      <c r="K9" s="17"/>
      <c r="L9" s="17"/>
      <c r="M9" s="17"/>
      <c r="N9" s="17"/>
      <c r="O9" s="20">
        <f>SUM(O4:O8)</f>
        <v>172</v>
      </c>
    </row>
    <row r="10" spans="1:15">
      <c r="A10" t="s">
        <v>27</v>
      </c>
      <c r="B10">
        <f>'Chiffres '!C52</f>
        <v>5243</v>
      </c>
      <c r="C10" s="6">
        <f>'Chiffres '!E52</f>
        <v>8.2299999999999998E-2</v>
      </c>
      <c r="D10">
        <f t="shared" si="0"/>
        <v>431</v>
      </c>
      <c r="G10" s="19">
        <f>D10</f>
        <v>431</v>
      </c>
      <c r="I10" t="s">
        <v>27</v>
      </c>
      <c r="J10">
        <f>'Chiffres '!L52</f>
        <v>5243</v>
      </c>
      <c r="K10" s="6">
        <f>'Chiffres '!N52</f>
        <v>8.2299999999999998E-2</v>
      </c>
      <c r="L10">
        <f t="shared" si="1"/>
        <v>431</v>
      </c>
      <c r="O10" s="19">
        <f>L10</f>
        <v>431</v>
      </c>
    </row>
    <row r="11" spans="1:15">
      <c r="A11" t="s">
        <v>28</v>
      </c>
      <c r="B11">
        <f>'Chiffres '!C58</f>
        <v>5243</v>
      </c>
      <c r="C11" s="6">
        <f>'Chiffres '!E58</f>
        <v>1.8700000000000001E-2</v>
      </c>
      <c r="D11">
        <f t="shared" si="0"/>
        <v>98</v>
      </c>
      <c r="G11" s="19">
        <f>D11</f>
        <v>98</v>
      </c>
      <c r="I11" t="s">
        <v>28</v>
      </c>
      <c r="J11">
        <f>'Chiffres '!L58</f>
        <v>5243</v>
      </c>
      <c r="K11" s="6">
        <f>'Chiffres '!N58</f>
        <v>1.8700000000000001E-2</v>
      </c>
      <c r="L11">
        <f t="shared" si="1"/>
        <v>98</v>
      </c>
      <c r="O11" s="19">
        <f>L11</f>
        <v>98</v>
      </c>
    </row>
    <row r="12" spans="1:15">
      <c r="A12" t="s">
        <v>56</v>
      </c>
      <c r="B12">
        <f>'Chiffres '!C155</f>
        <v>0</v>
      </c>
      <c r="C12" s="4">
        <f>'Chiffres '!D155</f>
        <v>0.09</v>
      </c>
      <c r="D12">
        <f t="shared" si="0"/>
        <v>0</v>
      </c>
      <c r="G12" s="19">
        <f>D12</f>
        <v>0</v>
      </c>
      <c r="I12" t="s">
        <v>56</v>
      </c>
      <c r="J12">
        <f>'Chiffres '!L155</f>
        <v>0</v>
      </c>
      <c r="K12" s="4">
        <f>'Chiffres '!M155</f>
        <v>0.09</v>
      </c>
      <c r="L12">
        <f t="shared" si="1"/>
        <v>0</v>
      </c>
      <c r="O12" s="19">
        <f>L12</f>
        <v>0</v>
      </c>
    </row>
    <row r="13" spans="1:15">
      <c r="A13" t="s">
        <v>55</v>
      </c>
      <c r="B13">
        <f>'Chiffres '!C162</f>
        <v>0</v>
      </c>
      <c r="C13" s="6">
        <f>'Chiffres '!D162</f>
        <v>0.22</v>
      </c>
      <c r="D13">
        <f t="shared" si="0"/>
        <v>0</v>
      </c>
      <c r="G13" s="19">
        <f>D13</f>
        <v>0</v>
      </c>
      <c r="I13" t="s">
        <v>55</v>
      </c>
      <c r="J13">
        <f>'Chiffres '!L162</f>
        <v>0</v>
      </c>
      <c r="K13" s="6">
        <f>'Chiffres '!M162</f>
        <v>0.22</v>
      </c>
      <c r="L13">
        <f t="shared" si="1"/>
        <v>0</v>
      </c>
      <c r="O13" s="19">
        <f>L13</f>
        <v>0</v>
      </c>
    </row>
    <row r="14" spans="1:15">
      <c r="A14" t="s">
        <v>32</v>
      </c>
      <c r="B14">
        <f>'Chiffres '!C170</f>
        <v>17156</v>
      </c>
      <c r="C14" s="6">
        <f>'Chiffres '!D170</f>
        <v>5.0000000000000001E-3</v>
      </c>
      <c r="D14">
        <f t="shared" si="0"/>
        <v>86</v>
      </c>
      <c r="G14" s="19">
        <f>D14</f>
        <v>86</v>
      </c>
      <c r="I14" t="s">
        <v>32</v>
      </c>
      <c r="J14">
        <f>'Chiffres '!L170</f>
        <v>17156</v>
      </c>
      <c r="K14" s="6">
        <f>'Chiffres '!M170</f>
        <v>5.0000000000000001E-3</v>
      </c>
      <c r="L14">
        <f t="shared" si="1"/>
        <v>86</v>
      </c>
      <c r="O14" s="19">
        <f>L14</f>
        <v>86</v>
      </c>
    </row>
    <row r="15" spans="1:15">
      <c r="A15" s="17" t="s">
        <v>149</v>
      </c>
      <c r="B15" s="17"/>
      <c r="C15" s="17"/>
      <c r="D15" s="17"/>
      <c r="E15" s="17"/>
      <c r="F15" s="17"/>
      <c r="G15" s="20">
        <f>SUM(G10:G14)</f>
        <v>615</v>
      </c>
      <c r="I15" s="17" t="str">
        <f>A15</f>
        <v>TOTAL VIEILLESSE</v>
      </c>
      <c r="J15" s="17"/>
      <c r="K15" s="17"/>
      <c r="L15" s="17"/>
      <c r="M15" s="17"/>
      <c r="N15" s="17"/>
      <c r="O15" s="20">
        <f>SUM(O10:O14)</f>
        <v>615</v>
      </c>
    </row>
    <row r="17" spans="1:15">
      <c r="A17" s="24" t="s">
        <v>59</v>
      </c>
      <c r="B17" s="24"/>
      <c r="C17" s="24"/>
      <c r="D17" s="24"/>
      <c r="E17" s="24"/>
      <c r="F17" s="24"/>
      <c r="G17" s="23">
        <f>G15+G9</f>
        <v>787</v>
      </c>
      <c r="I17" s="24" t="s">
        <v>59</v>
      </c>
      <c r="J17" s="24"/>
      <c r="K17" s="24"/>
      <c r="L17" s="24"/>
      <c r="M17" s="24"/>
      <c r="N17" s="24"/>
      <c r="O17" s="23">
        <f>O15+O9</f>
        <v>787</v>
      </c>
    </row>
    <row r="19" spans="1:15" ht="15.75">
      <c r="A19" s="27" t="s">
        <v>127</v>
      </c>
      <c r="B19" s="26"/>
      <c r="C19" s="26"/>
      <c r="D19" s="26"/>
      <c r="E19" s="26"/>
      <c r="F19" s="26"/>
      <c r="G19" s="25">
        <f>G17-O17</f>
        <v>0</v>
      </c>
    </row>
    <row r="21" spans="1:15" ht="15.75">
      <c r="A21" s="27" t="s">
        <v>128</v>
      </c>
      <c r="B21" s="26"/>
      <c r="C21" s="26"/>
      <c r="D21" s="26"/>
      <c r="E21" s="26"/>
      <c r="F21" s="26"/>
      <c r="G21" s="25">
        <f>-'Chiffres '!L1</f>
        <v>0</v>
      </c>
    </row>
    <row r="23" spans="1:15" ht="15.75">
      <c r="A23" s="27" t="s">
        <v>129</v>
      </c>
      <c r="B23" s="26"/>
      <c r="C23" s="26"/>
      <c r="D23" s="26"/>
      <c r="E23" s="26"/>
      <c r="F23" s="26"/>
      <c r="G23" s="25">
        <f>RIOGA</f>
        <v>0</v>
      </c>
    </row>
    <row r="24" spans="1:15">
      <c r="A24" t="str">
        <f>"- SURCOÛT CHARGES SOCIALES"</f>
        <v>- SURCOÛT CHARGES SOCIALES</v>
      </c>
      <c r="G24" s="49">
        <f>G19</f>
        <v>0</v>
      </c>
    </row>
    <row r="25" spans="1:15">
      <c r="A25" t="str">
        <f>"- SURCOÛT IR"</f>
        <v>- SURCOÛT IR</v>
      </c>
      <c r="G25" s="49">
        <f>+G21</f>
        <v>0</v>
      </c>
    </row>
    <row r="26" spans="1:15">
      <c r="A26" t="s">
        <v>130</v>
      </c>
      <c r="G26" s="49">
        <f>SUM(G23:G25)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3"/>
  <sheetViews>
    <sheetView workbookViewId="0">
      <selection activeCell="B9" sqref="B9"/>
    </sheetView>
  </sheetViews>
  <sheetFormatPr baseColWidth="10" defaultRowHeight="15"/>
  <cols>
    <col min="1" max="1" width="37.140625" bestFit="1" customWidth="1"/>
    <col min="7" max="7" width="13.140625" customWidth="1"/>
    <col min="8" max="8" width="3.28515625" customWidth="1"/>
    <col min="9" max="9" width="25.42578125" bestFit="1" customWidth="1"/>
    <col min="15" max="15" width="14.7109375" customWidth="1"/>
  </cols>
  <sheetData>
    <row r="2" spans="1:15">
      <c r="A2" s="126" t="s">
        <v>25</v>
      </c>
      <c r="B2" s="126"/>
      <c r="C2" s="126"/>
      <c r="D2" s="126"/>
      <c r="E2" s="126"/>
      <c r="F2" s="126"/>
      <c r="G2" s="126"/>
      <c r="I2" s="126" t="s">
        <v>58</v>
      </c>
      <c r="J2" s="126"/>
      <c r="K2" s="126"/>
      <c r="L2" s="126"/>
      <c r="M2" s="126"/>
      <c r="N2" s="126"/>
      <c r="O2" s="126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100</v>
      </c>
      <c r="B4">
        <f>'Chiffres '!C231</f>
        <v>0</v>
      </c>
      <c r="C4" s="6">
        <f>'Chiffres '!F231</f>
        <v>0</v>
      </c>
      <c r="D4">
        <f t="shared" ref="D4:D13" si="0">ROUND(B4*C4,0)</f>
        <v>0</v>
      </c>
      <c r="G4" s="19">
        <f>D4</f>
        <v>0</v>
      </c>
      <c r="I4" t="s">
        <v>100</v>
      </c>
      <c r="J4">
        <f>'Chiffres '!L231</f>
        <v>0</v>
      </c>
      <c r="K4" s="6">
        <f>'Chiffres '!O231</f>
        <v>0</v>
      </c>
      <c r="L4">
        <f t="shared" ref="L4:L13" si="1">ROUND(J4*K4,0)</f>
        <v>0</v>
      </c>
      <c r="O4" s="19">
        <f>L4</f>
        <v>0</v>
      </c>
    </row>
    <row r="5" spans="1:15">
      <c r="A5" t="s">
        <v>101</v>
      </c>
      <c r="B5">
        <f>'Chiffres '!C234</f>
        <v>0</v>
      </c>
      <c r="C5" s="6">
        <f>'Chiffres '!D234</f>
        <v>6.5000000000000002E-2</v>
      </c>
      <c r="D5">
        <f t="shared" si="0"/>
        <v>0</v>
      </c>
      <c r="G5" s="19">
        <f>D5</f>
        <v>0</v>
      </c>
      <c r="I5" t="s">
        <v>101</v>
      </c>
      <c r="J5">
        <f>'Chiffres '!L234</f>
        <v>0</v>
      </c>
      <c r="K5" s="6">
        <f>'Chiffres '!M234</f>
        <v>6.5000000000000002E-2</v>
      </c>
      <c r="L5">
        <f t="shared" si="1"/>
        <v>0</v>
      </c>
      <c r="O5" s="19">
        <f>L5</f>
        <v>0</v>
      </c>
    </row>
    <row r="6" spans="1:15">
      <c r="A6" t="s">
        <v>20</v>
      </c>
      <c r="B6">
        <f>'Chiffres '!C241</f>
        <v>18547</v>
      </c>
      <c r="C6" s="15">
        <f>'Chiffres '!E241</f>
        <v>5.0000000000000001E-3</v>
      </c>
      <c r="D6">
        <f t="shared" si="0"/>
        <v>93</v>
      </c>
      <c r="G6" s="19">
        <f>D6-F6</f>
        <v>93</v>
      </c>
      <c r="I6" t="s">
        <v>20</v>
      </c>
      <c r="J6">
        <f>'Chiffres '!L241</f>
        <v>18547</v>
      </c>
      <c r="K6" s="6">
        <f>'Chiffres '!N241</f>
        <v>5.0000000000000001E-3</v>
      </c>
      <c r="L6">
        <f t="shared" si="1"/>
        <v>93</v>
      </c>
      <c r="O6" s="19">
        <f>L6-N6</f>
        <v>93</v>
      </c>
    </row>
    <row r="7" spans="1:15">
      <c r="A7" t="s">
        <v>102</v>
      </c>
      <c r="B7">
        <f>'Chiffres '!C249</f>
        <v>5243</v>
      </c>
      <c r="C7" s="6">
        <f>'Chiffres '!D246</f>
        <v>0.17749999999999999</v>
      </c>
      <c r="D7">
        <f t="shared" si="0"/>
        <v>931</v>
      </c>
      <c r="G7" s="19">
        <f t="shared" ref="G7:G13" si="2">D7</f>
        <v>931</v>
      </c>
      <c r="I7" t="s">
        <v>102</v>
      </c>
      <c r="J7">
        <f>'Chiffres '!L249</f>
        <v>5243</v>
      </c>
      <c r="K7" s="6">
        <f>'Chiffres '!M246</f>
        <v>0.17749999999999999</v>
      </c>
      <c r="L7">
        <f t="shared" si="1"/>
        <v>931</v>
      </c>
      <c r="O7" s="19">
        <f>L7</f>
        <v>931</v>
      </c>
    </row>
    <row r="8" spans="1:15">
      <c r="A8" t="s">
        <v>103</v>
      </c>
      <c r="B8">
        <f>'Chiffres '!C252</f>
        <v>0</v>
      </c>
      <c r="C8" s="6">
        <f>'Chiffres '!D252</f>
        <v>6.0000000000000001E-3</v>
      </c>
      <c r="D8">
        <f t="shared" si="0"/>
        <v>0</v>
      </c>
      <c r="G8" s="19">
        <f t="shared" si="2"/>
        <v>0</v>
      </c>
      <c r="I8" t="s">
        <v>103</v>
      </c>
      <c r="J8">
        <f>'Chiffres '!L252</f>
        <v>0</v>
      </c>
      <c r="K8" s="6">
        <f>'Chiffres '!M252</f>
        <v>6.0000000000000001E-3</v>
      </c>
      <c r="L8">
        <f t="shared" si="1"/>
        <v>0</v>
      </c>
      <c r="O8" s="19">
        <f>L8</f>
        <v>0</v>
      </c>
    </row>
    <row r="9" spans="1:15">
      <c r="A9" t="s">
        <v>132</v>
      </c>
      <c r="B9">
        <f>'Chiffres '!C293</f>
        <v>0</v>
      </c>
      <c r="C9" s="6">
        <f>'Chiffres '!D289</f>
        <v>0.14000000000000001</v>
      </c>
      <c r="D9">
        <f t="shared" si="0"/>
        <v>0</v>
      </c>
      <c r="G9" s="19">
        <f t="shared" si="2"/>
        <v>0</v>
      </c>
      <c r="I9" t="s">
        <v>132</v>
      </c>
      <c r="J9">
        <f>'Chiffres '!L293</f>
        <v>0</v>
      </c>
      <c r="K9" s="6">
        <f>'Chiffres '!M289</f>
        <v>0.14000000000000001</v>
      </c>
      <c r="L9">
        <f t="shared" si="1"/>
        <v>0</v>
      </c>
      <c r="O9" s="19">
        <f>L9</f>
        <v>0</v>
      </c>
    </row>
    <row r="10" spans="1:15">
      <c r="A10" t="s">
        <v>32</v>
      </c>
      <c r="B10">
        <f>'Chiffres '!C275</f>
        <v>0</v>
      </c>
      <c r="C10" s="6">
        <f>'Chiffres '!D275</f>
        <v>1.2999999999999999E-2</v>
      </c>
      <c r="D10">
        <f t="shared" si="0"/>
        <v>0</v>
      </c>
      <c r="G10" s="19">
        <f t="shared" si="2"/>
        <v>0</v>
      </c>
      <c r="I10" t="s">
        <v>32</v>
      </c>
      <c r="J10">
        <f>'Chiffres '!L275</f>
        <v>0</v>
      </c>
      <c r="K10" s="6">
        <f>'Chiffres '!M275</f>
        <v>1.2999999999999999E-2</v>
      </c>
      <c r="L10">
        <f t="shared" si="1"/>
        <v>0</v>
      </c>
      <c r="O10" s="19">
        <f>G10</f>
        <v>0</v>
      </c>
    </row>
    <row r="11" spans="1:15">
      <c r="A11" t="s">
        <v>21</v>
      </c>
      <c r="B11">
        <f>'9-CIPAV'!B6</f>
        <v>0</v>
      </c>
      <c r="C11" s="6">
        <f>'9-CIPAV'!C6</f>
        <v>0</v>
      </c>
      <c r="D11">
        <f t="shared" si="0"/>
        <v>0</v>
      </c>
      <c r="G11" s="19">
        <f t="shared" si="2"/>
        <v>0</v>
      </c>
      <c r="I11" t="s">
        <v>21</v>
      </c>
      <c r="J11">
        <f>'9-CIPAV'!J6</f>
        <v>0</v>
      </c>
      <c r="K11" s="6">
        <f>'9-CIPAV'!K6</f>
        <v>0</v>
      </c>
      <c r="L11">
        <f t="shared" si="1"/>
        <v>0</v>
      </c>
      <c r="O11" s="19">
        <f>L11</f>
        <v>0</v>
      </c>
    </row>
    <row r="12" spans="1:15">
      <c r="A12" t="s">
        <v>12</v>
      </c>
      <c r="B12">
        <f>'Chiffres '!A279</f>
        <v>46368</v>
      </c>
      <c r="C12" s="6">
        <f>'8-PAM'!C8</f>
        <v>2.5000000000000001E-3</v>
      </c>
      <c r="D12">
        <f t="shared" si="0"/>
        <v>116</v>
      </c>
      <c r="G12" s="19">
        <f t="shared" si="2"/>
        <v>116</v>
      </c>
      <c r="I12" t="s">
        <v>12</v>
      </c>
      <c r="J12">
        <f>B12</f>
        <v>46368</v>
      </c>
      <c r="K12" s="6">
        <f>'Chiffres '!B282</f>
        <v>2.5000000000000001E-3</v>
      </c>
      <c r="L12">
        <f t="shared" si="1"/>
        <v>116</v>
      </c>
      <c r="O12" s="19">
        <f t="shared" ref="O12:O13" si="3">L12</f>
        <v>116</v>
      </c>
    </row>
    <row r="13" spans="1:15">
      <c r="A13" t="s">
        <v>11</v>
      </c>
      <c r="B13">
        <f>'9-CIPAV'!B8</f>
        <v>0</v>
      </c>
      <c r="C13" s="6">
        <f>'9-CIPAV'!C8</f>
        <v>9.7000000000000003E-2</v>
      </c>
      <c r="D13">
        <f t="shared" si="0"/>
        <v>0</v>
      </c>
      <c r="G13" s="19">
        <f t="shared" si="2"/>
        <v>0</v>
      </c>
      <c r="I13" t="s">
        <v>11</v>
      </c>
      <c r="J13">
        <f>'9-CIPAV'!J8</f>
        <v>0</v>
      </c>
      <c r="K13" s="6">
        <f>'9-CIPAV'!K8</f>
        <v>9.7000000000000003E-2</v>
      </c>
      <c r="L13">
        <f t="shared" si="1"/>
        <v>0</v>
      </c>
      <c r="O13" s="19">
        <f t="shared" si="3"/>
        <v>0</v>
      </c>
    </row>
    <row r="14" spans="1:15">
      <c r="A14" s="24" t="s">
        <v>24</v>
      </c>
      <c r="B14" s="24"/>
      <c r="C14" s="24"/>
      <c r="D14" s="24"/>
      <c r="E14" s="24"/>
      <c r="F14" s="24"/>
      <c r="G14" s="23">
        <f>SUM(G4:G13)</f>
        <v>1140</v>
      </c>
      <c r="I14" s="24" t="str">
        <f>A14</f>
        <v>TOTAL URSSAF</v>
      </c>
      <c r="J14" s="24"/>
      <c r="K14" s="24"/>
      <c r="L14" s="24"/>
      <c r="M14" s="24"/>
      <c r="N14" s="24"/>
      <c r="O14" s="23">
        <f>SUM(O4:O13)</f>
        <v>1140</v>
      </c>
    </row>
    <row r="16" spans="1:15" ht="15.75">
      <c r="A16" s="27" t="s">
        <v>127</v>
      </c>
      <c r="B16" s="26"/>
      <c r="C16" s="26"/>
      <c r="D16" s="26"/>
      <c r="E16" s="26"/>
      <c r="F16" s="26"/>
      <c r="G16" s="25">
        <f>G14-O14</f>
        <v>0</v>
      </c>
    </row>
    <row r="18" spans="1:7" ht="15.75">
      <c r="A18" s="27" t="s">
        <v>128</v>
      </c>
      <c r="B18" s="26"/>
      <c r="C18" s="26"/>
      <c r="D18" s="26"/>
      <c r="E18" s="26"/>
      <c r="F18" s="26"/>
      <c r="G18" s="25">
        <f>-'Chiffres '!L1</f>
        <v>0</v>
      </c>
    </row>
    <row r="20" spans="1:7" ht="15.75">
      <c r="A20" s="27" t="s">
        <v>129</v>
      </c>
      <c r="B20" s="26"/>
      <c r="C20" s="26"/>
      <c r="D20" s="26"/>
      <c r="E20" s="26"/>
      <c r="F20" s="26"/>
      <c r="G20" s="25">
        <f>RIOGA</f>
        <v>0</v>
      </c>
    </row>
    <row r="21" spans="1:7">
      <c r="A21" t="str">
        <f>"- SURCOÛT CHARGES SOCIALES"</f>
        <v>- SURCOÛT CHARGES SOCIALES</v>
      </c>
      <c r="G21" s="49">
        <f>G16</f>
        <v>0</v>
      </c>
    </row>
    <row r="22" spans="1:7">
      <c r="A22" t="str">
        <f>"- SURCOÛT IR"</f>
        <v>- SURCOÛT IR</v>
      </c>
      <c r="G22" s="49">
        <f>+G18</f>
        <v>0</v>
      </c>
    </row>
    <row r="23" spans="1:7">
      <c r="A23" t="s">
        <v>130</v>
      </c>
      <c r="G23" s="49">
        <f>SUM(G20:G22)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9"/>
  <sheetViews>
    <sheetView workbookViewId="0">
      <selection activeCell="J10" sqref="J10"/>
    </sheetView>
  </sheetViews>
  <sheetFormatPr baseColWidth="10" defaultRowHeight="15"/>
  <cols>
    <col min="1" max="1" width="35.5703125" bestFit="1" customWidth="1"/>
    <col min="4" max="4" width="11.85546875" customWidth="1"/>
    <col min="6" max="7" width="11.85546875" bestFit="1" customWidth="1"/>
    <col min="8" max="8" width="3.28515625" customWidth="1"/>
    <col min="9" max="9" width="35.5703125" bestFit="1" customWidth="1"/>
    <col min="12" max="12" width="11.85546875" bestFit="1" customWidth="1"/>
    <col min="14" max="15" width="11.85546875" bestFit="1" customWidth="1"/>
  </cols>
  <sheetData>
    <row r="2" spans="1:15" ht="20.100000000000001" customHeight="1">
      <c r="A2" s="125" t="s">
        <v>62</v>
      </c>
      <c r="B2" s="125"/>
      <c r="C2" s="125"/>
      <c r="D2" s="125"/>
      <c r="E2" s="125"/>
      <c r="F2" s="125"/>
      <c r="G2" s="125"/>
      <c r="I2" s="125" t="s">
        <v>63</v>
      </c>
      <c r="J2" s="125"/>
      <c r="K2" s="125"/>
      <c r="L2" s="125"/>
      <c r="M2" s="125"/>
      <c r="N2" s="125"/>
      <c r="O2" s="125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73</v>
      </c>
      <c r="B4" s="44">
        <f>'8-PAM'!B4</f>
        <v>0</v>
      </c>
      <c r="C4" s="30">
        <f>'Chiffres '!E30</f>
        <v>0</v>
      </c>
      <c r="D4" s="36">
        <f t="shared" ref="D4:D15" si="0">ROUND(B4*C4,0)</f>
        <v>0</v>
      </c>
      <c r="E4" s="1" t="s">
        <v>22</v>
      </c>
      <c r="F4" s="36">
        <f>'8-PAM'!F4</f>
        <v>0</v>
      </c>
      <c r="G4" s="36">
        <f>D4-F4</f>
        <v>0</v>
      </c>
      <c r="I4" t="s">
        <v>73</v>
      </c>
      <c r="J4" s="44">
        <f>'8-PAM'!J4</f>
        <v>0</v>
      </c>
      <c r="K4" s="30">
        <f>'Chiffres '!N30</f>
        <v>0</v>
      </c>
      <c r="L4" s="36">
        <f t="shared" ref="L4:L15" si="1">ROUND(J4*K4,0)</f>
        <v>0</v>
      </c>
      <c r="M4" s="1" t="s">
        <v>22</v>
      </c>
      <c r="N4" s="36">
        <f>'8-PAM'!N4</f>
        <v>0</v>
      </c>
      <c r="O4" s="36">
        <f>L4-N4</f>
        <v>0</v>
      </c>
    </row>
    <row r="5" spans="1:15">
      <c r="A5" t="s">
        <v>20</v>
      </c>
      <c r="B5" s="1">
        <f>'Chiffres '!C36</f>
        <v>18547</v>
      </c>
      <c r="C5" s="30">
        <f>'Chiffres '!D34</f>
        <v>3.0000000000000001E-3</v>
      </c>
      <c r="D5" s="36">
        <f t="shared" si="0"/>
        <v>56</v>
      </c>
      <c r="E5" s="1"/>
      <c r="F5" s="36"/>
      <c r="G5" s="36">
        <f>D5</f>
        <v>56</v>
      </c>
      <c r="I5" t="s">
        <v>20</v>
      </c>
      <c r="J5" s="1">
        <f>'Chiffres '!L36</f>
        <v>18547</v>
      </c>
      <c r="K5" s="30">
        <f>'Chiffres '!N36</f>
        <v>3.0000000000000001E-3</v>
      </c>
      <c r="L5" s="36">
        <f t="shared" si="1"/>
        <v>56</v>
      </c>
      <c r="M5" s="1"/>
      <c r="N5" s="36"/>
      <c r="O5" s="36">
        <f>L5</f>
        <v>56</v>
      </c>
    </row>
    <row r="6" spans="1:15">
      <c r="A6" t="s">
        <v>72</v>
      </c>
      <c r="B6" s="44">
        <f>'8-PAM'!B6</f>
        <v>0</v>
      </c>
      <c r="C6" s="30">
        <v>3.2500000000000001E-2</v>
      </c>
      <c r="D6" s="36">
        <f t="shared" si="0"/>
        <v>0</v>
      </c>
      <c r="E6" s="1"/>
      <c r="F6" s="36"/>
      <c r="G6" s="36">
        <f>D6</f>
        <v>0</v>
      </c>
      <c r="I6" t="s">
        <v>72</v>
      </c>
      <c r="J6" s="44">
        <f>'8-PAM'!J6</f>
        <v>0</v>
      </c>
      <c r="K6" s="30">
        <v>3.2500000000000001E-2</v>
      </c>
      <c r="L6" s="36">
        <f t="shared" si="1"/>
        <v>0</v>
      </c>
      <c r="M6" s="1"/>
      <c r="N6" s="36"/>
      <c r="O6" s="36">
        <f>L6</f>
        <v>0</v>
      </c>
    </row>
    <row r="7" spans="1:15">
      <c r="A7" t="s">
        <v>21</v>
      </c>
      <c r="B7" s="44">
        <f>'8-PAM'!B7</f>
        <v>0</v>
      </c>
      <c r="C7" s="31">
        <f>'Chiffres '!E42</f>
        <v>0</v>
      </c>
      <c r="D7" s="36">
        <f t="shared" si="0"/>
        <v>0</v>
      </c>
      <c r="E7" s="1"/>
      <c r="F7" s="36"/>
      <c r="G7" s="36">
        <f>D7-F7</f>
        <v>0</v>
      </c>
      <c r="I7" t="s">
        <v>21</v>
      </c>
      <c r="J7" s="44">
        <f>'8-PAM'!J7</f>
        <v>0</v>
      </c>
      <c r="K7" s="30">
        <f>'Chiffres '!N42</f>
        <v>0</v>
      </c>
      <c r="L7" s="36">
        <f t="shared" si="1"/>
        <v>0</v>
      </c>
      <c r="M7" s="1"/>
      <c r="N7" s="36"/>
      <c r="O7" s="36">
        <f>L7-N7</f>
        <v>0</v>
      </c>
    </row>
    <row r="8" spans="1:15">
      <c r="A8" t="s">
        <v>12</v>
      </c>
      <c r="B8" s="1">
        <f>PASS</f>
        <v>46368</v>
      </c>
      <c r="C8" s="30">
        <f>'Chiffres '!D45</f>
        <v>2.5000000000000001E-3</v>
      </c>
      <c r="D8" s="36">
        <f t="shared" si="0"/>
        <v>116</v>
      </c>
      <c r="E8" s="1"/>
      <c r="F8" s="36"/>
      <c r="G8" s="36">
        <f>D8</f>
        <v>116</v>
      </c>
      <c r="I8" t="s">
        <v>12</v>
      </c>
      <c r="J8" s="1">
        <f>PASS</f>
        <v>46368</v>
      </c>
      <c r="K8" s="30">
        <f>'Chiffres '!D45</f>
        <v>2.5000000000000001E-3</v>
      </c>
      <c r="L8" s="36">
        <f t="shared" si="1"/>
        <v>116</v>
      </c>
      <c r="M8" s="1"/>
      <c r="N8" s="36"/>
      <c r="O8" s="36">
        <f>L8</f>
        <v>116</v>
      </c>
    </row>
    <row r="9" spans="1:15">
      <c r="A9" t="str">
        <f>IF('Chiffres '!D8=TRUE,"URPS non due car Remplaçant","URPS")</f>
        <v>URPS</v>
      </c>
      <c r="B9" s="1">
        <f>'3-Chir_dent'!B9</f>
        <v>0</v>
      </c>
      <c r="C9" s="30">
        <f>'8-PAM'!C9</f>
        <v>1E-3</v>
      </c>
      <c r="D9" s="36">
        <f t="shared" si="0"/>
        <v>0</v>
      </c>
      <c r="E9" s="1"/>
      <c r="F9" s="36"/>
      <c r="G9" s="36">
        <f>D9</f>
        <v>0</v>
      </c>
      <c r="I9" t="str">
        <f>IF('Chiffres '!D8=TRUE,"URPS non due car Remplaçant","URPS")</f>
        <v>URPS</v>
      </c>
      <c r="J9" s="44">
        <f>'3-Chir_dent'!J9</f>
        <v>0</v>
      </c>
      <c r="K9" s="30">
        <f>'8-PAM'!K9</f>
        <v>1E-3</v>
      </c>
      <c r="L9" s="36">
        <f t="shared" si="1"/>
        <v>0</v>
      </c>
      <c r="M9" s="1"/>
      <c r="N9" s="36"/>
      <c r="O9" s="36">
        <f>L9</f>
        <v>0</v>
      </c>
    </row>
    <row r="10" spans="1:15">
      <c r="A10" t="s">
        <v>11</v>
      </c>
      <c r="B10" s="44">
        <f>'8-PAM'!B10</f>
        <v>0</v>
      </c>
      <c r="C10" s="30">
        <f>'Chiffres '!D43</f>
        <v>9.7000000000000003E-2</v>
      </c>
      <c r="D10" s="36">
        <f t="shared" si="0"/>
        <v>0</v>
      </c>
      <c r="E10" s="1"/>
      <c r="F10" s="36"/>
      <c r="G10" s="36">
        <f>D10</f>
        <v>0</v>
      </c>
      <c r="I10" t="s">
        <v>11</v>
      </c>
      <c r="J10" s="44">
        <f>'8-PAM'!J10</f>
        <v>0</v>
      </c>
      <c r="K10" s="30">
        <f>'Chiffres '!D43</f>
        <v>9.7000000000000003E-2</v>
      </c>
      <c r="L10" s="36">
        <f t="shared" si="1"/>
        <v>0</v>
      </c>
      <c r="M10" s="1"/>
      <c r="N10" s="36"/>
      <c r="O10" s="36">
        <f>L10</f>
        <v>0</v>
      </c>
    </row>
    <row r="11" spans="1:15">
      <c r="A11" s="17" t="s">
        <v>24</v>
      </c>
      <c r="B11" s="28"/>
      <c r="C11" s="28"/>
      <c r="D11" s="37"/>
      <c r="E11" s="28"/>
      <c r="F11" s="37"/>
      <c r="G11" s="37">
        <f>SUM(G4:G10)</f>
        <v>172</v>
      </c>
      <c r="I11" s="17" t="s">
        <v>24</v>
      </c>
      <c r="J11" s="28"/>
      <c r="K11" s="28"/>
      <c r="L11" s="37"/>
      <c r="M11" s="28"/>
      <c r="N11" s="37"/>
      <c r="O11" s="37">
        <f>SUM(O4:O10)</f>
        <v>172</v>
      </c>
    </row>
    <row r="12" spans="1:15">
      <c r="A12" t="s">
        <v>27</v>
      </c>
      <c r="B12" s="44">
        <f>'8-PAM'!B12</f>
        <v>5243</v>
      </c>
      <c r="C12" s="30">
        <f>'8-PAM'!C12</f>
        <v>8.2299999999999998E-2</v>
      </c>
      <c r="D12" s="36">
        <f t="shared" si="0"/>
        <v>431</v>
      </c>
      <c r="E12" s="1"/>
      <c r="F12" s="36"/>
      <c r="G12" s="36">
        <f>D12</f>
        <v>431</v>
      </c>
      <c r="I12" t="s">
        <v>27</v>
      </c>
      <c r="J12" s="44">
        <f>'8-PAM'!J12</f>
        <v>5243</v>
      </c>
      <c r="K12" s="30">
        <f>'8-PAM'!K12</f>
        <v>8.2299999999999998E-2</v>
      </c>
      <c r="L12" s="36">
        <f t="shared" si="1"/>
        <v>431</v>
      </c>
      <c r="M12" s="1"/>
      <c r="N12" s="36"/>
      <c r="O12" s="36">
        <f>L12</f>
        <v>431</v>
      </c>
    </row>
    <row r="13" spans="1:15">
      <c r="A13" t="s">
        <v>28</v>
      </c>
      <c r="B13" s="44">
        <f>'8-PAM'!B13</f>
        <v>5243</v>
      </c>
      <c r="C13" s="30">
        <f>'8-PAM'!C13</f>
        <v>1.8700000000000001E-2</v>
      </c>
      <c r="D13" s="36">
        <f t="shared" si="0"/>
        <v>98</v>
      </c>
      <c r="E13" s="1"/>
      <c r="F13" s="36"/>
      <c r="G13" s="36">
        <f>D13</f>
        <v>98</v>
      </c>
      <c r="I13" t="s">
        <v>28</v>
      </c>
      <c r="J13" s="44">
        <f>'8-PAM'!J13</f>
        <v>5243</v>
      </c>
      <c r="K13" s="30">
        <f>'8-PAM'!K13</f>
        <v>1.8700000000000001E-2</v>
      </c>
      <c r="L13" s="36">
        <f t="shared" si="1"/>
        <v>98</v>
      </c>
      <c r="M13" s="1"/>
      <c r="N13" s="36"/>
      <c r="O13" s="36">
        <f>L13</f>
        <v>98</v>
      </c>
    </row>
    <row r="14" spans="1:15">
      <c r="A14" t="s">
        <v>40</v>
      </c>
      <c r="B14" s="1"/>
      <c r="C14" s="1"/>
      <c r="D14" s="36">
        <f>'Chiffres '!B175</f>
        <v>3108</v>
      </c>
      <c r="E14" s="1"/>
      <c r="F14" s="36"/>
      <c r="G14" s="36">
        <f>D14</f>
        <v>3108</v>
      </c>
      <c r="I14" t="s">
        <v>40</v>
      </c>
      <c r="J14" s="1"/>
      <c r="K14" s="1"/>
      <c r="L14" s="36">
        <f>D14</f>
        <v>3108</v>
      </c>
      <c r="M14" s="1"/>
      <c r="N14" s="36"/>
      <c r="O14" s="36">
        <f>L14</f>
        <v>3108</v>
      </c>
    </row>
    <row r="15" spans="1:15">
      <c r="A15" t="s">
        <v>41</v>
      </c>
      <c r="B15" s="1">
        <f>'Chiffres '!C181</f>
        <v>0</v>
      </c>
      <c r="C15" s="30">
        <f>'Chiffres '!D181</f>
        <v>0.108</v>
      </c>
      <c r="D15" s="36">
        <f t="shared" si="0"/>
        <v>0</v>
      </c>
      <c r="E15" s="1"/>
      <c r="F15" s="36"/>
      <c r="G15" s="36">
        <f>D15</f>
        <v>0</v>
      </c>
      <c r="I15" t="s">
        <v>41</v>
      </c>
      <c r="J15" s="1">
        <f>'Chiffres '!L181</f>
        <v>0</v>
      </c>
      <c r="K15" s="30">
        <f>'Chiffres '!M181</f>
        <v>0.108</v>
      </c>
      <c r="L15" s="36">
        <f t="shared" si="1"/>
        <v>0</v>
      </c>
      <c r="M15" s="1"/>
      <c r="N15" s="36"/>
      <c r="O15" s="36">
        <f>L15</f>
        <v>0</v>
      </c>
    </row>
    <row r="16" spans="1:15">
      <c r="A16" t="s">
        <v>74</v>
      </c>
      <c r="B16" s="1"/>
      <c r="C16" s="1"/>
      <c r="D16" s="36">
        <f>'Chiffres '!B195</f>
        <v>780</v>
      </c>
      <c r="E16" s="1" t="s">
        <v>22</v>
      </c>
      <c r="F16" s="36">
        <f>'Chiffres '!B196</f>
        <v>520</v>
      </c>
      <c r="G16" s="36">
        <f>D16-F16</f>
        <v>260</v>
      </c>
      <c r="I16" t="s">
        <v>74</v>
      </c>
      <c r="J16" s="1"/>
      <c r="K16" s="1"/>
      <c r="L16" s="36">
        <f>D16</f>
        <v>780</v>
      </c>
      <c r="M16" s="1" t="str">
        <f>E16</f>
        <v>PCPAM</v>
      </c>
      <c r="N16" s="36">
        <f>F16</f>
        <v>520</v>
      </c>
      <c r="O16" s="36">
        <f>L16-N16</f>
        <v>260</v>
      </c>
    </row>
    <row r="17" spans="1:15">
      <c r="A17" t="s">
        <v>32</v>
      </c>
      <c r="B17" s="1"/>
      <c r="C17" s="1"/>
      <c r="D17" s="36">
        <f>'Chiffres '!B199</f>
        <v>351</v>
      </c>
      <c r="E17" s="1"/>
      <c r="F17" s="1"/>
      <c r="G17" s="36">
        <f>D17</f>
        <v>351</v>
      </c>
      <c r="I17" t="s">
        <v>32</v>
      </c>
      <c r="J17" s="1"/>
      <c r="K17" s="1"/>
      <c r="L17" s="36">
        <f>D17</f>
        <v>351</v>
      </c>
      <c r="M17" s="1"/>
      <c r="N17" s="1"/>
      <c r="O17" s="36">
        <f>L17</f>
        <v>351</v>
      </c>
    </row>
    <row r="18" spans="1:15">
      <c r="A18" s="17" t="s">
        <v>78</v>
      </c>
      <c r="B18" s="28"/>
      <c r="C18" s="28"/>
      <c r="D18" s="28"/>
      <c r="E18" s="28"/>
      <c r="F18" s="28"/>
      <c r="G18" s="37">
        <f>SUM(G12:G17)</f>
        <v>4248</v>
      </c>
      <c r="I18" s="17" t="s">
        <v>78</v>
      </c>
      <c r="J18" s="28"/>
      <c r="K18" s="28"/>
      <c r="L18" s="28"/>
      <c r="M18" s="28"/>
      <c r="N18" s="28"/>
      <c r="O18" s="37">
        <f>SUM(O12:O17)</f>
        <v>4248</v>
      </c>
    </row>
    <row r="20" spans="1:15">
      <c r="A20" s="24" t="s">
        <v>59</v>
      </c>
      <c r="B20" s="24"/>
      <c r="C20" s="24"/>
      <c r="D20" s="24"/>
      <c r="E20" s="24"/>
      <c r="F20" s="24"/>
      <c r="G20" s="23">
        <f>G18+G11</f>
        <v>4420</v>
      </c>
      <c r="I20" s="24" t="s">
        <v>59</v>
      </c>
      <c r="J20" s="24"/>
      <c r="K20" s="24"/>
      <c r="L20" s="24"/>
      <c r="M20" s="24"/>
      <c r="N20" s="24"/>
      <c r="O20" s="23">
        <f>O18+O11</f>
        <v>4420</v>
      </c>
    </row>
    <row r="22" spans="1:15" ht="15.75">
      <c r="A22" s="27" t="s">
        <v>127</v>
      </c>
      <c r="B22" s="26"/>
      <c r="C22" s="26"/>
      <c r="D22" s="26"/>
      <c r="E22" s="26"/>
      <c r="F22" s="26"/>
      <c r="G22" s="25">
        <f>G20-O20</f>
        <v>0</v>
      </c>
    </row>
    <row r="24" spans="1:15" ht="15.75">
      <c r="A24" s="27" t="s">
        <v>128</v>
      </c>
      <c r="B24" s="26"/>
      <c r="C24" s="26"/>
      <c r="D24" s="26"/>
      <c r="E24" s="26"/>
      <c r="F24" s="26"/>
      <c r="G24" s="25">
        <f>-'Chiffres '!L1</f>
        <v>0</v>
      </c>
    </row>
    <row r="26" spans="1:15" ht="15.75">
      <c r="A26" s="27" t="s">
        <v>129</v>
      </c>
      <c r="B26" s="26"/>
      <c r="C26" s="26"/>
      <c r="D26" s="26"/>
      <c r="E26" s="26"/>
      <c r="F26" s="26"/>
      <c r="G26" s="25">
        <f>RIOGA</f>
        <v>0</v>
      </c>
    </row>
    <row r="27" spans="1:15">
      <c r="A27" t="str">
        <f>"- SURCOÛT CHARGES SOCIALES"</f>
        <v>- SURCOÛT CHARGES SOCIALES</v>
      </c>
      <c r="G27" s="49">
        <f>G22</f>
        <v>0</v>
      </c>
    </row>
    <row r="28" spans="1:15">
      <c r="A28" t="str">
        <f>"- SURCOÛT IR"</f>
        <v>- SURCOÛT IR</v>
      </c>
      <c r="G28" s="49">
        <f>+G24</f>
        <v>0</v>
      </c>
    </row>
    <row r="29" spans="1:15">
      <c r="A29" t="s">
        <v>130</v>
      </c>
      <c r="G29" s="49">
        <f>SUM(G26:G28)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5"/>
  <sheetViews>
    <sheetView workbookViewId="0">
      <selection activeCell="J8" sqref="J8"/>
    </sheetView>
  </sheetViews>
  <sheetFormatPr baseColWidth="10" defaultRowHeight="15"/>
  <cols>
    <col min="1" max="1" width="26.7109375" customWidth="1"/>
    <col min="2" max="2" width="11.85546875" bestFit="1" customWidth="1"/>
    <col min="8" max="8" width="3.28515625" customWidth="1"/>
    <col min="9" max="9" width="23.28515625" customWidth="1"/>
    <col min="10" max="10" width="11.85546875" bestFit="1" customWidth="1"/>
  </cols>
  <sheetData>
    <row r="2" spans="1:15" s="35" customFormat="1" ht="20.100000000000001" customHeight="1">
      <c r="A2" s="125" t="s">
        <v>62</v>
      </c>
      <c r="B2" s="125"/>
      <c r="C2" s="125"/>
      <c r="D2" s="125"/>
      <c r="E2" s="125"/>
      <c r="F2" s="125"/>
      <c r="G2" s="125"/>
      <c r="I2" s="125" t="s">
        <v>63</v>
      </c>
      <c r="J2" s="125"/>
      <c r="K2" s="125"/>
      <c r="L2" s="125"/>
      <c r="M2" s="125"/>
      <c r="N2" s="125"/>
      <c r="O2" s="125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18</v>
      </c>
      <c r="B4" s="38">
        <f>'9-CIPAV'!B4</f>
        <v>0</v>
      </c>
      <c r="C4" s="30">
        <f>'Chiffres '!E30</f>
        <v>0</v>
      </c>
      <c r="D4" s="38">
        <f>ROUND(B4*C4,0)</f>
        <v>0</v>
      </c>
      <c r="E4" s="1"/>
      <c r="F4" s="1"/>
      <c r="G4" s="38">
        <f>D4</f>
        <v>0</v>
      </c>
      <c r="I4" t="s">
        <v>18</v>
      </c>
      <c r="J4" s="38">
        <f>'9-CIPAV'!J4</f>
        <v>0</v>
      </c>
      <c r="K4" s="30">
        <f>'Chiffres '!N30</f>
        <v>0</v>
      </c>
      <c r="L4" s="38">
        <f>ROUND(J4*K4,0)</f>
        <v>0</v>
      </c>
      <c r="M4" s="1"/>
      <c r="N4" s="1"/>
      <c r="O4" s="38">
        <f>L4</f>
        <v>0</v>
      </c>
    </row>
    <row r="5" spans="1:15">
      <c r="A5" t="s">
        <v>20</v>
      </c>
      <c r="B5" s="38">
        <f>'Chiffres '!C36</f>
        <v>18547</v>
      </c>
      <c r="C5" s="30">
        <f>'Chiffres '!D34</f>
        <v>3.0000000000000001E-3</v>
      </c>
      <c r="D5" s="38">
        <f>ROUND(B5*C5,0)</f>
        <v>56</v>
      </c>
      <c r="E5" s="1"/>
      <c r="F5" s="1"/>
      <c r="G5" s="38">
        <f>D5</f>
        <v>56</v>
      </c>
      <c r="I5" t="s">
        <v>20</v>
      </c>
      <c r="J5" s="38">
        <f>'Chiffres '!L36</f>
        <v>18547</v>
      </c>
      <c r="K5" s="30">
        <f>'Chiffres '!N36</f>
        <v>3.0000000000000001E-3</v>
      </c>
      <c r="L5" s="38">
        <f>ROUND(J5*K5,0)</f>
        <v>56</v>
      </c>
      <c r="M5" s="1"/>
      <c r="N5" s="1"/>
      <c r="O5" s="38">
        <f>L5</f>
        <v>56</v>
      </c>
    </row>
    <row r="6" spans="1:15">
      <c r="A6" t="s">
        <v>21</v>
      </c>
      <c r="B6" s="38">
        <f>B4</f>
        <v>0</v>
      </c>
      <c r="C6" s="31">
        <f>'Chiffres '!E42</f>
        <v>0</v>
      </c>
      <c r="D6" s="38">
        <f>ROUND(B6*C6,0)</f>
        <v>0</v>
      </c>
      <c r="E6" s="1"/>
      <c r="F6" s="1"/>
      <c r="G6" s="38">
        <f>D6-F6</f>
        <v>0</v>
      </c>
      <c r="I6" t="s">
        <v>21</v>
      </c>
      <c r="J6" s="38">
        <f>J4</f>
        <v>0</v>
      </c>
      <c r="K6" s="30">
        <f>'Chiffres '!N42</f>
        <v>0</v>
      </c>
      <c r="L6" s="38">
        <f>ROUND(J6*K6,0)</f>
        <v>0</v>
      </c>
      <c r="M6" s="1"/>
      <c r="N6" s="1"/>
      <c r="O6" s="38">
        <f>L6-N6</f>
        <v>0</v>
      </c>
    </row>
    <row r="7" spans="1:15">
      <c r="A7" t="s">
        <v>12</v>
      </c>
      <c r="B7" s="38">
        <f>PASS</f>
        <v>46368</v>
      </c>
      <c r="C7" s="30">
        <f>'Chiffres '!D45</f>
        <v>2.5000000000000001E-3</v>
      </c>
      <c r="D7" s="38">
        <f>ROUND(B7*C7,0)</f>
        <v>116</v>
      </c>
      <c r="E7" s="1"/>
      <c r="F7" s="1"/>
      <c r="G7" s="38">
        <f>D7</f>
        <v>116</v>
      </c>
      <c r="I7" t="s">
        <v>12</v>
      </c>
      <c r="J7" s="38">
        <f>PASS</f>
        <v>46368</v>
      </c>
      <c r="K7" s="30">
        <f>'Chiffres '!D45</f>
        <v>2.5000000000000001E-3</v>
      </c>
      <c r="L7" s="38">
        <f>ROUND(J7*K7,0)</f>
        <v>116</v>
      </c>
      <c r="M7" s="1"/>
      <c r="N7" s="1"/>
      <c r="O7" s="38">
        <f>L7</f>
        <v>116</v>
      </c>
    </row>
    <row r="8" spans="1:15">
      <c r="A8" t="s">
        <v>11</v>
      </c>
      <c r="B8" s="38">
        <f>'5-EC_CAC'!B8</f>
        <v>0</v>
      </c>
      <c r="C8" s="30">
        <f>'Chiffres '!D43</f>
        <v>9.7000000000000003E-2</v>
      </c>
      <c r="D8" s="38">
        <f>ROUND(B8*C8,0)</f>
        <v>0</v>
      </c>
      <c r="E8" s="1"/>
      <c r="F8" s="1"/>
      <c r="G8" s="38">
        <f>D8</f>
        <v>0</v>
      </c>
      <c r="I8" t="s">
        <v>11</v>
      </c>
      <c r="J8" s="38">
        <f>'5-EC_CAC'!J8</f>
        <v>0</v>
      </c>
      <c r="K8" s="30">
        <f>'Chiffres '!D43</f>
        <v>9.7000000000000003E-2</v>
      </c>
      <c r="L8" s="38">
        <f>ROUND(J8*K8,0)</f>
        <v>0</v>
      </c>
      <c r="M8" s="1"/>
      <c r="N8" s="1"/>
      <c r="O8" s="38">
        <f>L8</f>
        <v>0</v>
      </c>
    </row>
    <row r="9" spans="1:15">
      <c r="A9" s="17" t="s">
        <v>24</v>
      </c>
      <c r="B9" s="39"/>
      <c r="C9" s="28"/>
      <c r="D9" s="39"/>
      <c r="E9" s="28"/>
      <c r="F9" s="28"/>
      <c r="G9" s="39">
        <f>SUM(G4:G8)</f>
        <v>172</v>
      </c>
      <c r="H9" s="18"/>
      <c r="I9" s="17" t="s">
        <v>24</v>
      </c>
      <c r="J9" s="39"/>
      <c r="K9" s="28"/>
      <c r="L9" s="39"/>
      <c r="M9" s="28"/>
      <c r="N9" s="28"/>
      <c r="O9" s="39">
        <f>SUM(O4:O8)</f>
        <v>172</v>
      </c>
    </row>
    <row r="10" spans="1:15">
      <c r="A10" t="s">
        <v>27</v>
      </c>
      <c r="B10" s="38">
        <f>'Chiffres '!C52</f>
        <v>5243</v>
      </c>
      <c r="C10" s="30">
        <f>'Chiffres '!E52</f>
        <v>8.2299999999999998E-2</v>
      </c>
      <c r="D10" s="38">
        <f>ROUND(B10*C10,0)</f>
        <v>431</v>
      </c>
      <c r="E10" s="1"/>
      <c r="F10" s="1"/>
      <c r="G10" s="38">
        <f>D10</f>
        <v>431</v>
      </c>
      <c r="I10" t="s">
        <v>27</v>
      </c>
      <c r="J10" s="38">
        <f>'Chiffres '!L52</f>
        <v>5243</v>
      </c>
      <c r="K10" s="30">
        <f>'Chiffres '!N52</f>
        <v>8.2299999999999998E-2</v>
      </c>
      <c r="L10" s="38">
        <f t="shared" ref="L10:L11" si="0">ROUND(J10*K10,0)</f>
        <v>431</v>
      </c>
      <c r="M10" s="1"/>
      <c r="N10" s="1"/>
      <c r="O10" s="38">
        <f>L10</f>
        <v>431</v>
      </c>
    </row>
    <row r="11" spans="1:15">
      <c r="A11" t="s">
        <v>28</v>
      </c>
      <c r="B11" s="38">
        <f>'Chiffres '!C58</f>
        <v>5243</v>
      </c>
      <c r="C11" s="30">
        <f>'Chiffres '!E58</f>
        <v>1.8700000000000001E-2</v>
      </c>
      <c r="D11" s="38">
        <f>ROUND(B11*C11,0)</f>
        <v>98</v>
      </c>
      <c r="E11" s="1"/>
      <c r="F11" s="1"/>
      <c r="G11" s="38">
        <f>D11</f>
        <v>98</v>
      </c>
      <c r="I11" t="s">
        <v>28</v>
      </c>
      <c r="J11" s="38">
        <f>'Chiffres '!L58</f>
        <v>5243</v>
      </c>
      <c r="K11" s="30">
        <f>'Chiffres '!N58</f>
        <v>1.8700000000000001E-2</v>
      </c>
      <c r="L11" s="38">
        <f t="shared" si="0"/>
        <v>98</v>
      </c>
      <c r="M11" s="1"/>
      <c r="N11" s="1"/>
      <c r="O11" s="38">
        <f>L11</f>
        <v>98</v>
      </c>
    </row>
    <row r="12" spans="1:15">
      <c r="A12" t="s">
        <v>46</v>
      </c>
      <c r="B12" s="1" t="str">
        <f>'Chiffres '!C117</f>
        <v>Super Spéciale I</v>
      </c>
      <c r="C12" s="1"/>
      <c r="D12" s="38">
        <f>'Chiffres '!E116</f>
        <v>1141</v>
      </c>
      <c r="E12" s="1"/>
      <c r="F12" s="1"/>
      <c r="G12" s="38">
        <f>D12</f>
        <v>1141</v>
      </c>
      <c r="I12" t="s">
        <v>46</v>
      </c>
      <c r="J12" s="1" t="str">
        <f>'Chiffres '!L117</f>
        <v>Super Spéciale I</v>
      </c>
      <c r="K12" s="1"/>
      <c r="L12" s="38">
        <f>'Chiffres '!N116</f>
        <v>1141</v>
      </c>
      <c r="M12" s="1"/>
      <c r="N12" s="1"/>
      <c r="O12" s="38">
        <f>L12</f>
        <v>1141</v>
      </c>
    </row>
    <row r="13" spans="1:15">
      <c r="A13" t="s">
        <v>32</v>
      </c>
      <c r="B13" s="1" t="str">
        <f>'Chiffres '!B120</f>
        <v>Minimum</v>
      </c>
      <c r="C13" s="1"/>
      <c r="D13" s="38">
        <f>'Chiffres '!C120</f>
        <v>390</v>
      </c>
      <c r="E13" s="1"/>
      <c r="F13" s="1"/>
      <c r="G13" s="38">
        <f>D13</f>
        <v>390</v>
      </c>
      <c r="I13" t="s">
        <v>32</v>
      </c>
      <c r="J13" s="1" t="str">
        <f>'Chiffres '!B120</f>
        <v>Minimum</v>
      </c>
      <c r="K13" s="1"/>
      <c r="L13" s="38">
        <f>'Chiffres '!C120</f>
        <v>390</v>
      </c>
      <c r="M13" s="1"/>
      <c r="N13" s="1"/>
      <c r="O13" s="38">
        <f>L13</f>
        <v>390</v>
      </c>
    </row>
    <row r="14" spans="1:15">
      <c r="A14" s="17" t="s">
        <v>49</v>
      </c>
      <c r="B14" s="28"/>
      <c r="C14" s="28"/>
      <c r="D14" s="28"/>
      <c r="E14" s="28"/>
      <c r="F14" s="28"/>
      <c r="G14" s="39">
        <f>SUM(G10:G13)</f>
        <v>2060</v>
      </c>
      <c r="H14" s="18"/>
      <c r="I14" s="17" t="s">
        <v>49</v>
      </c>
      <c r="J14" s="28"/>
      <c r="K14" s="28"/>
      <c r="L14" s="28"/>
      <c r="M14" s="28"/>
      <c r="N14" s="28"/>
      <c r="O14" s="39">
        <f>SUM(O10:O13)</f>
        <v>2060</v>
      </c>
    </row>
    <row r="16" spans="1:15">
      <c r="A16" s="24" t="s">
        <v>59</v>
      </c>
      <c r="B16" s="24"/>
      <c r="C16" s="24"/>
      <c r="D16" s="24"/>
      <c r="E16" s="24"/>
      <c r="F16" s="24"/>
      <c r="G16" s="23">
        <f>G14+G9</f>
        <v>2232</v>
      </c>
      <c r="I16" s="24" t="s">
        <v>59</v>
      </c>
      <c r="J16" s="24"/>
      <c r="K16" s="24"/>
      <c r="L16" s="24"/>
      <c r="M16" s="24"/>
      <c r="N16" s="24"/>
      <c r="O16" s="23">
        <f>O14+O9</f>
        <v>2232</v>
      </c>
    </row>
    <row r="18" spans="1:7" ht="15.75">
      <c r="A18" s="27" t="s">
        <v>127</v>
      </c>
      <c r="B18" s="26"/>
      <c r="C18" s="26"/>
      <c r="D18" s="26"/>
      <c r="E18" s="26"/>
      <c r="F18" s="26"/>
      <c r="G18" s="25">
        <f>G16-O16</f>
        <v>0</v>
      </c>
    </row>
    <row r="20" spans="1:7" ht="15.75">
      <c r="A20" s="27" t="s">
        <v>128</v>
      </c>
      <c r="B20" s="26"/>
      <c r="C20" s="26"/>
      <c r="D20" s="26"/>
      <c r="E20" s="26"/>
      <c r="F20" s="26"/>
      <c r="G20" s="25">
        <f>-'Chiffres '!L1</f>
        <v>0</v>
      </c>
    </row>
    <row r="22" spans="1:7" ht="15.75">
      <c r="A22" s="27" t="s">
        <v>129</v>
      </c>
      <c r="B22" s="26"/>
      <c r="C22" s="26"/>
      <c r="D22" s="26"/>
      <c r="E22" s="26"/>
      <c r="F22" s="26"/>
      <c r="G22" s="25">
        <f>RIOGA</f>
        <v>0</v>
      </c>
    </row>
    <row r="23" spans="1:7">
      <c r="A23" t="str">
        <f>"- SURCOÛT CHARGES SOCIALES"</f>
        <v>- SURCOÛT CHARGES SOCIALES</v>
      </c>
      <c r="G23" s="49">
        <f>G18</f>
        <v>0</v>
      </c>
    </row>
    <row r="24" spans="1:7">
      <c r="A24" t="str">
        <f>"- SURCOÛT IR"</f>
        <v>- SURCOÛT IR</v>
      </c>
      <c r="G24" s="49">
        <f>+G20</f>
        <v>0</v>
      </c>
    </row>
    <row r="25" spans="1:7">
      <c r="A25" t="s">
        <v>130</v>
      </c>
      <c r="G25" s="49">
        <f>SUM(G22:G24)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0"/>
  <sheetViews>
    <sheetView zoomScaleNormal="100" workbookViewId="0">
      <selection activeCell="C19" sqref="C19"/>
    </sheetView>
  </sheetViews>
  <sheetFormatPr baseColWidth="10" defaultRowHeight="15.75"/>
  <cols>
    <col min="2" max="2" width="58.7109375" bestFit="1" customWidth="1"/>
    <col min="3" max="3" width="34.5703125" customWidth="1"/>
    <col min="4" max="4" width="11.85546875" bestFit="1" customWidth="1"/>
    <col min="10" max="10" width="11.42578125" style="66"/>
    <col min="11" max="11" width="32.85546875" bestFit="1" customWidth="1"/>
  </cols>
  <sheetData>
    <row r="1" spans="2:18">
      <c r="B1" t="s">
        <v>134</v>
      </c>
      <c r="C1" t="e">
        <f>'1-ARTISAN'!G21&amp;" € (RIOGA réintégrée au résultat) x "&amp;TAUX_marginal*100&amp;" % (Taux marginal d'imposition) = "&amp;'Chiffres '!L1&amp;" €"</f>
        <v>#VALUE!</v>
      </c>
    </row>
    <row r="2" spans="2:18">
      <c r="B2" t="s">
        <v>152</v>
      </c>
      <c r="C2" t="e">
        <f>K330&amp;" € (Total des CSP Oblig. AVEC application RIOGA) - "&amp;C330&amp;" € (Total des CSP Oblig. SANS application RIOGA) = "&amp;K330-C330&amp;" €"</f>
        <v>#N/A</v>
      </c>
    </row>
    <row r="4" spans="2:18" ht="15">
      <c r="B4" t="s">
        <v>135</v>
      </c>
      <c r="C4" t="str">
        <f>IF(Feuil3!$K$10=0,"",C43)</f>
        <v/>
      </c>
      <c r="D4" t="str">
        <f>IF(Feuil3!$K$10=0,"",D43)</f>
        <v/>
      </c>
      <c r="E4" t="str">
        <f>IF(Feuil3!$K$10=0,"",E43)</f>
        <v/>
      </c>
      <c r="F4" t="str">
        <f>IF(Feuil3!$K$10=0,"",F43)</f>
        <v/>
      </c>
      <c r="G4" t="str">
        <f>IF(Feuil3!$K$10=0,"",G43)</f>
        <v/>
      </c>
      <c r="H4" t="str">
        <f>IF(Feuil3!$K$10=0,"",H43)</f>
        <v/>
      </c>
      <c r="I4" t="str">
        <f>IF(Feuil3!$K$10=0,"",I43)</f>
        <v/>
      </c>
      <c r="J4" t="str">
        <f>IF(Feuil3!$K$10=0,"",J43)</f>
        <v/>
      </c>
      <c r="K4" t="str">
        <f>IF(Feuil3!$K$10=0,"",K43)</f>
        <v/>
      </c>
      <c r="L4" t="str">
        <f>IF(Feuil3!$K$10=0,"",L43)</f>
        <v/>
      </c>
      <c r="M4" t="str">
        <f>IF(Feuil3!$K$10=0,"",M43)</f>
        <v/>
      </c>
      <c r="N4" t="str">
        <f>IF(Feuil3!$K$10=0,"",N43)</f>
        <v/>
      </c>
      <c r="O4" t="str">
        <f>IF(Feuil3!$K$10=0,"",O43)</f>
        <v/>
      </c>
      <c r="P4" t="str">
        <f>IF(Feuil3!$K$10=0,"",P43)</f>
        <v/>
      </c>
      <c r="Q4" t="str">
        <f>IF(Feuil3!$K$10=0,"",Q43)</f>
        <v/>
      </c>
      <c r="R4" t="str">
        <f>IF(Feuil3!$K$10=0,"",R43)</f>
        <v/>
      </c>
    </row>
    <row r="5" spans="2:18" ht="15">
      <c r="B5" t="s">
        <v>153</v>
      </c>
      <c r="C5" t="str">
        <f>IF(Feuil3!$K$10=0,"",C61)</f>
        <v/>
      </c>
      <c r="D5" t="str">
        <f>IF(Feuil3!$K$10=0,"",D61)</f>
        <v/>
      </c>
      <c r="E5" t="str">
        <f>IF(Feuil3!$K$10=0,"",E61)</f>
        <v/>
      </c>
      <c r="F5" t="str">
        <f>IF(Feuil3!$K$10=0,"",F61)</f>
        <v/>
      </c>
      <c r="G5" t="str">
        <f>IF(Feuil3!$K$10=0,"",G61)</f>
        <v/>
      </c>
      <c r="H5" t="str">
        <f>IF(Feuil3!$K$10=0,"",H61)</f>
        <v/>
      </c>
      <c r="I5" t="str">
        <f>IF(Feuil3!$K$10=0,"",I61)</f>
        <v/>
      </c>
      <c r="J5" t="str">
        <f>IF(Feuil3!$K$10=0,"",J61)</f>
        <v/>
      </c>
      <c r="K5" t="str">
        <f>IF(Feuil3!$K$10=0,"",K61)</f>
        <v/>
      </c>
      <c r="L5" t="str">
        <f>IF(Feuil3!$K$10=0,"",L61)</f>
        <v/>
      </c>
      <c r="M5" t="str">
        <f>IF(Feuil3!$K$10=0,"",M61)</f>
        <v/>
      </c>
      <c r="N5" t="str">
        <f>IF(Feuil3!$K$10=0,"",N61)</f>
        <v/>
      </c>
      <c r="O5" t="str">
        <f>IF(Feuil3!$K$10=0,"",O61)</f>
        <v/>
      </c>
      <c r="P5" t="str">
        <f>IF(Feuil3!$K$10=0,"",P61)</f>
        <v/>
      </c>
      <c r="Q5" t="str">
        <f>IF(Feuil3!$K$10=0,"",Q61)</f>
        <v/>
      </c>
      <c r="R5" t="str">
        <f>IF(Feuil3!$K$10=0,"",R61)</f>
        <v/>
      </c>
    </row>
    <row r="6" spans="2:18" ht="15">
      <c r="B6" t="s">
        <v>154</v>
      </c>
      <c r="C6" t="str">
        <f>IF(Feuil3!$K$10=0,"",C79)</f>
        <v/>
      </c>
      <c r="D6" t="str">
        <f>IF(Feuil3!$K$10=0,"",D79)</f>
        <v/>
      </c>
      <c r="E6" t="str">
        <f>IF(Feuil3!$K$10=0,"",E79)</f>
        <v/>
      </c>
      <c r="F6" t="str">
        <f>IF(Feuil3!$K$10=0,"",F79)</f>
        <v/>
      </c>
      <c r="G6" t="str">
        <f>IF(Feuil3!$K$10=0,"",G79)</f>
        <v/>
      </c>
      <c r="H6" t="str">
        <f>IF(Feuil3!$K$10=0,"",H79)</f>
        <v/>
      </c>
      <c r="I6" t="str">
        <f>IF(Feuil3!$K$10=0,"",I79)</f>
        <v/>
      </c>
      <c r="J6" t="str">
        <f>IF(Feuil3!$K$10=0,"",J79)</f>
        <v/>
      </c>
      <c r="K6" t="str">
        <f>IF(Feuil3!$K$10=0,"",K79)</f>
        <v/>
      </c>
      <c r="L6" t="str">
        <f>IF(Feuil3!$K$10=0,"",L79)</f>
        <v/>
      </c>
      <c r="M6" t="str">
        <f>IF(Feuil3!$K$10=0,"",M79)</f>
        <v/>
      </c>
      <c r="N6" t="str">
        <f>IF(Feuil3!$K$10=0,"",N79)</f>
        <v/>
      </c>
      <c r="O6" t="str">
        <f>IF(Feuil3!$K$10=0,"",O79)</f>
        <v/>
      </c>
      <c r="P6" t="str">
        <f>IF(Feuil3!$K$10=0,"",P79)</f>
        <v/>
      </c>
      <c r="Q6" t="str">
        <f>IF(Feuil3!$K$10=0,"",Q79)</f>
        <v/>
      </c>
      <c r="R6" t="str">
        <f>IF(Feuil3!$K$10=0,"",R79)</f>
        <v/>
      </c>
    </row>
    <row r="7" spans="2:18" ht="15">
      <c r="B7" t="s">
        <v>155</v>
      </c>
      <c r="C7" t="str">
        <f>IF(Feuil3!$K$10=0,"",C97)</f>
        <v/>
      </c>
      <c r="D7" t="str">
        <f>IF(Feuil3!$K$10=0,"",D97)</f>
        <v/>
      </c>
      <c r="E7" t="str">
        <f>IF(Feuil3!$K$10=0,"",E97)</f>
        <v/>
      </c>
      <c r="F7" t="str">
        <f>IF(Feuil3!$K$10=0,"",F97)</f>
        <v/>
      </c>
      <c r="G7" t="str">
        <f>IF(Feuil3!$K$10=0,"",G97)</f>
        <v/>
      </c>
      <c r="H7" t="str">
        <f>IF(Feuil3!$K$10=0,"",H97)</f>
        <v/>
      </c>
      <c r="I7" t="str">
        <f>IF(Feuil3!$K$10=0,"",I97)</f>
        <v/>
      </c>
      <c r="J7" t="str">
        <f>IF(Feuil3!$K$10=0,"",J97)</f>
        <v/>
      </c>
      <c r="K7" t="str">
        <f>IF(Feuil3!$K$10=0,"",K97)</f>
        <v/>
      </c>
      <c r="L7" t="str">
        <f>IF(Feuil3!$K$10=0,"",L97)</f>
        <v/>
      </c>
      <c r="M7" t="str">
        <f>IF(Feuil3!$K$10=0,"",M97)</f>
        <v/>
      </c>
      <c r="N7" t="str">
        <f>IF(Feuil3!$K$10=0,"",N97)</f>
        <v/>
      </c>
      <c r="O7" t="str">
        <f>IF(Feuil3!$K$10=0,"",O97)</f>
        <v/>
      </c>
      <c r="P7" t="str">
        <f>IF(Feuil3!$K$10=0,"",P97)</f>
        <v/>
      </c>
      <c r="Q7" t="str">
        <f>IF(Feuil3!$K$10=0,"",Q97)</f>
        <v/>
      </c>
      <c r="R7" t="str">
        <f>IF(Feuil3!$K$10=0,"",R97)</f>
        <v/>
      </c>
    </row>
    <row r="8" spans="2:18" ht="15">
      <c r="B8" t="s">
        <v>156</v>
      </c>
      <c r="C8" t="str">
        <f>IF(Feuil3!$K$10=0,"",C115)</f>
        <v/>
      </c>
      <c r="D8" t="str">
        <f>IF(Feuil3!$K$10=0,"",D115)</f>
        <v/>
      </c>
      <c r="E8" t="str">
        <f>IF(Feuil3!$K$10=0,"",E115)</f>
        <v/>
      </c>
      <c r="F8" t="str">
        <f>IF(Feuil3!$K$10=0,"",F115)</f>
        <v/>
      </c>
      <c r="G8" t="str">
        <f>IF(Feuil3!$K$10=0,"",G115)</f>
        <v/>
      </c>
      <c r="H8" t="str">
        <f>IF(Feuil3!$K$10=0,"",H115)</f>
        <v/>
      </c>
      <c r="I8" t="str">
        <f>IF(Feuil3!$K$10=0,"",I115)</f>
        <v/>
      </c>
      <c r="J8" t="str">
        <f>IF(Feuil3!$K$10=0,"",J115)</f>
        <v/>
      </c>
      <c r="K8" t="str">
        <f>IF(Feuil3!$K$10=0,"",K115)</f>
        <v/>
      </c>
      <c r="L8" t="str">
        <f>IF(Feuil3!$K$10=0,"",L115)</f>
        <v/>
      </c>
      <c r="M8" t="str">
        <f>IF(Feuil3!$K$10=0,"",M115)</f>
        <v/>
      </c>
      <c r="N8" t="str">
        <f>IF(Feuil3!$K$10=0,"",N115)</f>
        <v/>
      </c>
      <c r="O8" t="str">
        <f>IF(Feuil3!$K$10=0,"",O115)</f>
        <v/>
      </c>
      <c r="P8" t="str">
        <f>IF(Feuil3!$K$10=0,"",P115)</f>
        <v/>
      </c>
      <c r="Q8" t="str">
        <f>IF(Feuil3!$K$10=0,"",Q115)</f>
        <v/>
      </c>
      <c r="R8" t="str">
        <f>IF(Feuil3!$K$10=0,"",R115)</f>
        <v/>
      </c>
    </row>
    <row r="9" spans="2:18" ht="15">
      <c r="B9" t="s">
        <v>157</v>
      </c>
      <c r="C9" t="str">
        <f>IF(Feuil3!$K$10=0,"",C133)</f>
        <v/>
      </c>
      <c r="D9" t="str">
        <f>IF(Feuil3!$K$10=0,"",D133)</f>
        <v/>
      </c>
      <c r="E9" t="str">
        <f>IF(Feuil3!$K$10=0,"",E133)</f>
        <v/>
      </c>
      <c r="F9" t="str">
        <f>IF(Feuil3!$K$10=0,"",F133)</f>
        <v/>
      </c>
      <c r="G9" t="str">
        <f>IF(Feuil3!$K$10=0,"",G133)</f>
        <v/>
      </c>
      <c r="H9" t="str">
        <f>IF(Feuil3!$K$10=0,"",H133)</f>
        <v/>
      </c>
      <c r="I9" t="str">
        <f>IF(Feuil3!$K$10=0,"",I133)</f>
        <v/>
      </c>
      <c r="J9" t="str">
        <f>IF(Feuil3!$K$10=0,"",J133)</f>
        <v/>
      </c>
      <c r="K9" t="str">
        <f>IF(Feuil3!$K$10=0,"",K133)</f>
        <v/>
      </c>
      <c r="L9" t="str">
        <f>IF(Feuil3!$K$10=0,"",L133)</f>
        <v/>
      </c>
      <c r="M9" t="str">
        <f>IF(Feuil3!$K$10=0,"",M133)</f>
        <v/>
      </c>
      <c r="N9" t="str">
        <f>IF(Feuil3!$K$10=0,"",N133)</f>
        <v/>
      </c>
      <c r="O9" t="str">
        <f>IF(Feuil3!$K$10=0,"",O133)</f>
        <v/>
      </c>
      <c r="P9" t="str">
        <f>IF(Feuil3!$K$10=0,"",P133)</f>
        <v/>
      </c>
      <c r="Q9" t="str">
        <f>IF(Feuil3!$K$10=0,"",Q133)</f>
        <v/>
      </c>
      <c r="R9" t="str">
        <f>IF(Feuil3!$K$10=0,"",R133)</f>
        <v/>
      </c>
    </row>
    <row r="10" spans="2:18" ht="15">
      <c r="B10" t="s">
        <v>158</v>
      </c>
      <c r="C10" t="str">
        <f>IF(Feuil3!$K$10=0,"",C151)</f>
        <v/>
      </c>
      <c r="D10" t="str">
        <f>IF(Feuil3!$K$10=0,"",D151)</f>
        <v/>
      </c>
      <c r="E10" t="str">
        <f>IF(Feuil3!$K$10=0,"",E151)</f>
        <v/>
      </c>
      <c r="F10" t="str">
        <f>IF(Feuil3!$K$10=0,"",F151)</f>
        <v/>
      </c>
      <c r="G10" t="str">
        <f>IF(Feuil3!$K$10=0,"",G151)</f>
        <v/>
      </c>
      <c r="H10" t="str">
        <f>IF(Feuil3!$K$10=0,"",H151)</f>
        <v/>
      </c>
      <c r="I10" t="str">
        <f>IF(Feuil3!$K$10=0,"",I151)</f>
        <v/>
      </c>
      <c r="J10" t="str">
        <f>IF(Feuil3!$K$10=0,"",J151)</f>
        <v/>
      </c>
      <c r="K10" t="str">
        <f>IF(Feuil3!$K$10=0,"",K151)</f>
        <v/>
      </c>
      <c r="L10" t="str">
        <f>IF(Feuil3!$K$10=0,"",L151)</f>
        <v/>
      </c>
      <c r="M10" t="str">
        <f>IF(Feuil3!$K$10=0,"",M151)</f>
        <v/>
      </c>
      <c r="N10" t="str">
        <f>IF(Feuil3!$K$10=0,"",N151)</f>
        <v/>
      </c>
      <c r="O10" t="str">
        <f>IF(Feuil3!$K$10=0,"",O151)</f>
        <v/>
      </c>
      <c r="P10" t="str">
        <f>IF(Feuil3!$K$10=0,"",P151)</f>
        <v/>
      </c>
      <c r="Q10" t="str">
        <f>IF(Feuil3!$K$10=0,"",Q151)</f>
        <v/>
      </c>
      <c r="R10" t="str">
        <f>IF(Feuil3!$K$10=0,"",R151)</f>
        <v/>
      </c>
    </row>
    <row r="11" spans="2:18" ht="15">
      <c r="B11" t="s">
        <v>159</v>
      </c>
      <c r="C11" t="str">
        <f>IF(Feuil3!$K$10=0,"",C169)</f>
        <v/>
      </c>
      <c r="D11" t="str">
        <f>IF(Feuil3!$K$10=0,"",D169)</f>
        <v/>
      </c>
      <c r="E11" t="str">
        <f>IF(Feuil3!$K$10=0,"",E169)</f>
        <v/>
      </c>
      <c r="F11" t="str">
        <f>IF(Feuil3!$K$10=0,"",F169)</f>
        <v/>
      </c>
      <c r="G11" t="str">
        <f>IF(Feuil3!$K$10=0,"",G169)</f>
        <v/>
      </c>
      <c r="H11" t="str">
        <f>IF(Feuil3!$K$10=0,"",H169)</f>
        <v/>
      </c>
      <c r="I11" t="str">
        <f>IF(Feuil3!$K$10=0,"",I169)</f>
        <v/>
      </c>
      <c r="J11" t="str">
        <f>IF(Feuil3!$K$10=0,"",J169)</f>
        <v/>
      </c>
      <c r="K11" t="str">
        <f>IF(Feuil3!$K$10=0,"",K169)</f>
        <v/>
      </c>
      <c r="L11" t="str">
        <f>IF(Feuil3!$K$10=0,"",L169)</f>
        <v/>
      </c>
      <c r="M11" t="str">
        <f>IF(Feuil3!$K$10=0,"",M169)</f>
        <v/>
      </c>
      <c r="N11" t="str">
        <f>IF(Feuil3!$K$10=0,"",N169)</f>
        <v/>
      </c>
      <c r="O11" t="str">
        <f>IF(Feuil3!$K$10=0,"",O169)</f>
        <v/>
      </c>
      <c r="P11" t="str">
        <f>IF(Feuil3!$K$10=0,"",P169)</f>
        <v/>
      </c>
      <c r="Q11" t="str">
        <f>IF(Feuil3!$K$10=0,"",Q169)</f>
        <v/>
      </c>
      <c r="R11" t="str">
        <f>IF(Feuil3!$K$10=0,"",R169)</f>
        <v/>
      </c>
    </row>
    <row r="12" spans="2:18" ht="15">
      <c r="B12" t="s">
        <v>160</v>
      </c>
      <c r="C12" t="str">
        <f>IF(Feuil3!$K$10=0,"",C187)</f>
        <v/>
      </c>
      <c r="D12" t="str">
        <f>IF(Feuil3!$K$10=0,"",D187)</f>
        <v/>
      </c>
      <c r="E12" t="str">
        <f>IF(Feuil3!$K$10=0,"",E187)</f>
        <v/>
      </c>
      <c r="F12" t="str">
        <f>IF(Feuil3!$K$10=0,"",F187)</f>
        <v/>
      </c>
      <c r="G12" t="str">
        <f>IF(Feuil3!$K$10=0,"",G187)</f>
        <v/>
      </c>
      <c r="H12" t="str">
        <f>IF(Feuil3!$K$10=0,"",H187)</f>
        <v/>
      </c>
      <c r="I12" t="str">
        <f>IF(Feuil3!$K$10=0,"",I187)</f>
        <v/>
      </c>
      <c r="J12" t="str">
        <f>IF(Feuil3!$K$10=0,"",J187)</f>
        <v/>
      </c>
      <c r="K12" t="str">
        <f>IF(Feuil3!$K$10=0,"",K187)</f>
        <v/>
      </c>
      <c r="L12" t="str">
        <f>IF(Feuil3!$K$10=0,"",L187)</f>
        <v/>
      </c>
      <c r="M12" t="str">
        <f>IF(Feuil3!$K$10=0,"",M187)</f>
        <v/>
      </c>
      <c r="N12" t="str">
        <f>IF(Feuil3!$K$10=0,"",N187)</f>
        <v/>
      </c>
      <c r="O12" t="str">
        <f>IF(Feuil3!$K$10=0,"",O187)</f>
        <v/>
      </c>
      <c r="P12" t="str">
        <f>IF(Feuil3!$K$10=0,"",P187)</f>
        <v/>
      </c>
      <c r="Q12" t="str">
        <f>IF(Feuil3!$K$10=0,"",Q187)</f>
        <v/>
      </c>
      <c r="R12" t="str">
        <f>IF(Feuil3!$K$10=0,"",R187)</f>
        <v/>
      </c>
    </row>
    <row r="13" spans="2:18" ht="15">
      <c r="B13" t="s">
        <v>161</v>
      </c>
      <c r="C13" t="str">
        <f>IF(Feuil3!$K$10=0,"",C205)</f>
        <v/>
      </c>
      <c r="D13" t="str">
        <f>IF(Feuil3!$K$10=0,"",D205)</f>
        <v/>
      </c>
      <c r="E13" t="str">
        <f>IF(Feuil3!$K$10=0,"",E205)</f>
        <v/>
      </c>
      <c r="F13" t="str">
        <f>IF(Feuil3!$K$10=0,"",F205)</f>
        <v/>
      </c>
      <c r="G13" t="str">
        <f>IF(Feuil3!$K$10=0,"",G205)</f>
        <v/>
      </c>
      <c r="H13" t="str">
        <f>IF(Feuil3!$K$10=0,"",H205)</f>
        <v/>
      </c>
      <c r="I13" t="str">
        <f>IF(Feuil3!$K$10=0,"",I205)</f>
        <v/>
      </c>
      <c r="J13" t="str">
        <f>IF(Feuil3!$K$10=0,"",J205)</f>
        <v/>
      </c>
      <c r="K13" t="str">
        <f>IF(Feuil3!$K$10=0,"",K205)</f>
        <v/>
      </c>
      <c r="L13" t="str">
        <f>IF(Feuil3!$K$10=0,"",L205)</f>
        <v/>
      </c>
      <c r="M13" t="str">
        <f>IF(Feuil3!$K$10=0,"",M205)</f>
        <v/>
      </c>
      <c r="N13" t="str">
        <f>IF(Feuil3!$K$10=0,"",N205)</f>
        <v/>
      </c>
      <c r="O13" t="str">
        <f>IF(Feuil3!$K$10=0,"",O205)</f>
        <v/>
      </c>
      <c r="P13" t="str">
        <f>IF(Feuil3!$K$10=0,"",P205)</f>
        <v/>
      </c>
      <c r="Q13" t="str">
        <f>IF(Feuil3!$K$10=0,"",Q205)</f>
        <v/>
      </c>
      <c r="R13" t="str">
        <f>IF(Feuil3!$K$10=0,"",R205)</f>
        <v/>
      </c>
    </row>
    <row r="14" spans="2:18" ht="15">
      <c r="B14" t="s">
        <v>162</v>
      </c>
      <c r="C14" t="str">
        <f>IF(Feuil3!$K$10=0,"",C223)</f>
        <v/>
      </c>
      <c r="D14" t="str">
        <f>IF(Feuil3!$K$10=0,"",D223)</f>
        <v/>
      </c>
      <c r="E14" t="str">
        <f>IF(Feuil3!$K$10=0,"",E223)</f>
        <v/>
      </c>
      <c r="F14" t="str">
        <f>IF(Feuil3!$K$10=0,"",F223)</f>
        <v/>
      </c>
      <c r="G14" t="str">
        <f>IF(Feuil3!$K$10=0,"",G223)</f>
        <v/>
      </c>
      <c r="H14" t="str">
        <f>IF(Feuil3!$K$10=0,"",H223)</f>
        <v/>
      </c>
      <c r="I14" t="str">
        <f>IF(Feuil3!$K$10=0,"",I223)</f>
        <v/>
      </c>
      <c r="J14" t="str">
        <f>IF(Feuil3!$K$10=0,"",J223)</f>
        <v/>
      </c>
      <c r="K14" t="str">
        <f>IF(Feuil3!$K$10=0,"",K223)</f>
        <v/>
      </c>
      <c r="L14" t="str">
        <f>IF(Feuil3!$K$10=0,"",L223)</f>
        <v/>
      </c>
      <c r="M14" t="str">
        <f>IF(Feuil3!$K$10=0,"",M223)</f>
        <v/>
      </c>
      <c r="N14" t="str">
        <f>IF(Feuil3!$K$10=0,"",N223)</f>
        <v/>
      </c>
      <c r="O14" t="str">
        <f>IF(Feuil3!$K$10=0,"",O223)</f>
        <v/>
      </c>
      <c r="P14" t="str">
        <f>IF(Feuil3!$K$10=0,"",P223)</f>
        <v/>
      </c>
      <c r="Q14" t="str">
        <f>IF(Feuil3!$K$10=0,"",Q223)</f>
        <v/>
      </c>
      <c r="R14" t="str">
        <f>IF(Feuil3!$K$10=0,"",R223)</f>
        <v/>
      </c>
    </row>
    <row r="15" spans="2:18" ht="15">
      <c r="B15" t="s">
        <v>163</v>
      </c>
      <c r="C15" t="str">
        <f>IF(Feuil3!$K$10=0,"",C241)</f>
        <v/>
      </c>
      <c r="D15" t="str">
        <f>IF(Feuil3!$K$10=0,"",D241)</f>
        <v/>
      </c>
      <c r="E15" t="str">
        <f>IF(Feuil3!$K$10=0,"",E241)</f>
        <v/>
      </c>
      <c r="F15" t="str">
        <f>IF(Feuil3!$K$10=0,"",F241)</f>
        <v/>
      </c>
      <c r="G15" t="str">
        <f>IF(Feuil3!$K$10=0,"",G241)</f>
        <v/>
      </c>
      <c r="H15" t="str">
        <f>IF(Feuil3!$K$10=0,"",H241)</f>
        <v/>
      </c>
      <c r="I15" t="str">
        <f>IF(Feuil3!$K$10=0,"",I241)</f>
        <v/>
      </c>
      <c r="J15" t="str">
        <f>IF(Feuil3!$K$10=0,"",J241)</f>
        <v/>
      </c>
      <c r="K15" t="str">
        <f>IF(Feuil3!$K$10=0,"",K241)</f>
        <v/>
      </c>
      <c r="L15" t="str">
        <f>IF(Feuil3!$K$10=0,"",L241)</f>
        <v/>
      </c>
      <c r="M15" t="str">
        <f>IF(Feuil3!$K$10=0,"",M241)</f>
        <v/>
      </c>
      <c r="N15" t="str">
        <f>IF(Feuil3!$K$10=0,"",N241)</f>
        <v/>
      </c>
      <c r="O15" t="str">
        <f>IF(Feuil3!$K$10=0,"",O241)</f>
        <v/>
      </c>
      <c r="P15" t="str">
        <f>IF(Feuil3!$K$10=0,"",P241)</f>
        <v/>
      </c>
      <c r="Q15" t="str">
        <f>IF(Feuil3!$K$10=0,"",Q241)</f>
        <v/>
      </c>
      <c r="R15" t="str">
        <f>IF(Feuil3!$K$10=0,"",R241)</f>
        <v/>
      </c>
    </row>
    <row r="16" spans="2:18" ht="15">
      <c r="B16" t="s">
        <v>164</v>
      </c>
      <c r="C16" t="str">
        <f>IF(Feuil3!$K$10=0,"",C259)</f>
        <v/>
      </c>
      <c r="D16" t="str">
        <f>IF(Feuil3!$K$10=0,"",D259)</f>
        <v/>
      </c>
      <c r="E16" t="str">
        <f>IF(Feuil3!$K$10=0,"",E259)</f>
        <v/>
      </c>
      <c r="F16" t="str">
        <f>IF(Feuil3!$K$10=0,"",F259)</f>
        <v/>
      </c>
      <c r="G16" t="str">
        <f>IF(Feuil3!$K$10=0,"",G259)</f>
        <v/>
      </c>
      <c r="H16" t="str">
        <f>IF(Feuil3!$K$10=0,"",H259)</f>
        <v/>
      </c>
      <c r="I16" t="str">
        <f>IF(Feuil3!$K$10=0,"",I259)</f>
        <v/>
      </c>
      <c r="J16" t="str">
        <f>IF(Feuil3!$K$10=0,"",J259)</f>
        <v/>
      </c>
      <c r="K16" t="str">
        <f>IF(Feuil3!$K$10=0,"",K259)</f>
        <v/>
      </c>
      <c r="L16" t="str">
        <f>IF(Feuil3!$K$10=0,"",L259)</f>
        <v/>
      </c>
      <c r="M16" t="str">
        <f>IF(Feuil3!$K$10=0,"",M259)</f>
        <v/>
      </c>
      <c r="N16" t="str">
        <f>IF(Feuil3!$K$10=0,"",N259)</f>
        <v/>
      </c>
      <c r="O16" t="str">
        <f>IF(Feuil3!$K$10=0,"",O259)</f>
        <v/>
      </c>
      <c r="P16" t="str">
        <f>IF(Feuil3!$K$10=0,"",P259)</f>
        <v/>
      </c>
      <c r="Q16" t="str">
        <f>IF(Feuil3!$K$10=0,"",Q259)</f>
        <v/>
      </c>
      <c r="R16" t="str">
        <f>IF(Feuil3!$K$10=0,"",R259)</f>
        <v/>
      </c>
    </row>
    <row r="17" spans="1:18" ht="15">
      <c r="B17" t="s">
        <v>165</v>
      </c>
      <c r="C17" t="str">
        <f>IF(Feuil3!$K$10=0,"",C277)</f>
        <v/>
      </c>
      <c r="D17" t="str">
        <f>IF(Feuil3!$K$10=0,"",D277)</f>
        <v/>
      </c>
      <c r="E17" t="str">
        <f>IF(Feuil3!$K$10=0,"",E277)</f>
        <v/>
      </c>
      <c r="F17" t="str">
        <f>IF(Feuil3!$K$10=0,"",F277)</f>
        <v/>
      </c>
      <c r="G17" t="str">
        <f>IF(Feuil3!$K$10=0,"",G277)</f>
        <v/>
      </c>
      <c r="H17" t="str">
        <f>IF(Feuil3!$K$10=0,"",H277)</f>
        <v/>
      </c>
      <c r="I17" t="str">
        <f>IF(Feuil3!$K$10=0,"",I277)</f>
        <v/>
      </c>
      <c r="J17" t="str">
        <f>IF(Feuil3!$K$10=0,"",J277)</f>
        <v/>
      </c>
      <c r="K17" t="str">
        <f>IF(Feuil3!$K$10=0,"",K277)</f>
        <v/>
      </c>
      <c r="L17" t="str">
        <f>IF(Feuil3!$K$10=0,"",L277)</f>
        <v/>
      </c>
      <c r="M17" t="str">
        <f>IF(Feuil3!$K$10=0,"",M277)</f>
        <v/>
      </c>
      <c r="N17" t="str">
        <f>IF(Feuil3!$K$10=0,"",N277)</f>
        <v/>
      </c>
      <c r="O17" t="str">
        <f>IF(Feuil3!$K$10=0,"",O277)</f>
        <v/>
      </c>
      <c r="P17" t="str">
        <f>IF(Feuil3!$K$10=0,"",P277)</f>
        <v/>
      </c>
      <c r="Q17" t="str">
        <f>IF(Feuil3!$K$10=0,"",Q277)</f>
        <v/>
      </c>
      <c r="R17" t="str">
        <f>IF(Feuil3!$K$10=0,"",R277)</f>
        <v/>
      </c>
    </row>
    <row r="18" spans="1:18" ht="15">
      <c r="B18" t="s">
        <v>166</v>
      </c>
      <c r="C18" t="str">
        <f>IF(Feuil3!$K$10=0,"",C295)</f>
        <v/>
      </c>
      <c r="D18" t="str">
        <f>IF(Feuil3!$K$10=0,"",D295)</f>
        <v/>
      </c>
      <c r="E18" t="str">
        <f>IF(Feuil3!$K$10=0,"",E295)</f>
        <v/>
      </c>
      <c r="F18" t="str">
        <f>IF(Feuil3!$K$10=0,"",F295)</f>
        <v/>
      </c>
      <c r="G18" t="str">
        <f>IF(Feuil3!$K$10=0,"",G295)</f>
        <v/>
      </c>
      <c r="H18" t="str">
        <f>IF(Feuil3!$K$10=0,"",H295)</f>
        <v/>
      </c>
      <c r="I18" t="str">
        <f>IF(Feuil3!$K$10=0,"",I295)</f>
        <v/>
      </c>
      <c r="J18" t="str">
        <f>IF(Feuil3!$K$10=0,"",J295)</f>
        <v/>
      </c>
      <c r="K18" t="str">
        <f>IF(Feuil3!$K$10=0,"",K295)</f>
        <v/>
      </c>
      <c r="L18" t="str">
        <f>IF(Feuil3!$K$10=0,"",L295)</f>
        <v/>
      </c>
      <c r="M18" t="str">
        <f>IF(Feuil3!$K$10=0,"",M295)</f>
        <v/>
      </c>
      <c r="N18" t="str">
        <f>IF(Feuil3!$K$10=0,"",N295)</f>
        <v/>
      </c>
      <c r="O18" t="str">
        <f>IF(Feuil3!$K$10=0,"",O295)</f>
        <v/>
      </c>
      <c r="P18" t="str">
        <f>IF(Feuil3!$K$10=0,"",P295)</f>
        <v/>
      </c>
      <c r="Q18" t="str">
        <f>IF(Feuil3!$K$10=0,"",Q295)</f>
        <v/>
      </c>
      <c r="R18" t="str">
        <f>IF(Feuil3!$K$10=0,"",R295)</f>
        <v/>
      </c>
    </row>
    <row r="19" spans="1:18" ht="15">
      <c r="B19" t="s">
        <v>167</v>
      </c>
      <c r="C19" t="str">
        <f>IF(Feuil3!$K$10=0,"",C313)</f>
        <v/>
      </c>
      <c r="D19" t="str">
        <f>IF(Feuil3!$K$10=0,"",D313)</f>
        <v/>
      </c>
      <c r="E19" t="str">
        <f>IF(Feuil3!$K$10=0,"",E313)</f>
        <v/>
      </c>
      <c r="F19" t="str">
        <f>IF(Feuil3!$K$10=0,"",F313)</f>
        <v/>
      </c>
      <c r="G19" t="str">
        <f>IF(Feuil3!$K$10=0,"",G313)</f>
        <v/>
      </c>
      <c r="H19" t="str">
        <f>IF(Feuil3!$K$10=0,"",H313)</f>
        <v/>
      </c>
      <c r="I19" t="str">
        <f>IF(Feuil3!$K$10=0,"",I313)</f>
        <v/>
      </c>
      <c r="J19" t="str">
        <f>IF(Feuil3!$K$10=0,"",J313)</f>
        <v/>
      </c>
      <c r="K19" t="str">
        <f>IF(Feuil3!$K$10=0,"",K313)</f>
        <v/>
      </c>
      <c r="L19" t="str">
        <f>IF(Feuil3!$K$10=0,"",L313)</f>
        <v/>
      </c>
      <c r="M19" t="str">
        <f>IF(Feuil3!$K$10=0,"",M313)</f>
        <v/>
      </c>
      <c r="N19" t="str">
        <f>IF(Feuil3!$K$10=0,"",N313)</f>
        <v/>
      </c>
      <c r="O19" t="str">
        <f>IF(Feuil3!$K$10=0,"",O313)</f>
        <v/>
      </c>
      <c r="P19" t="str">
        <f>IF(Feuil3!$K$10=0,"",P313)</f>
        <v/>
      </c>
      <c r="Q19" t="str">
        <f>IF(Feuil3!$K$10=0,"",Q313)</f>
        <v/>
      </c>
      <c r="R19" t="str">
        <f>IF(Feuil3!$K$10=0,"",R313)</f>
        <v/>
      </c>
    </row>
    <row r="26" spans="1:18">
      <c r="C26" s="8"/>
      <c r="D26" s="8"/>
      <c r="E26" s="8"/>
      <c r="F26" s="8"/>
      <c r="G26" s="8"/>
      <c r="H26" s="8"/>
      <c r="I26" s="8"/>
    </row>
    <row r="27" spans="1:18">
      <c r="A27">
        <f>CAS</f>
        <v>0</v>
      </c>
      <c r="B27" t="s">
        <v>135</v>
      </c>
      <c r="D27" s="8" t="s">
        <v>19</v>
      </c>
      <c r="E27" s="8" t="s">
        <v>60</v>
      </c>
      <c r="F27" s="8" t="s">
        <v>61</v>
      </c>
      <c r="G27" s="8" t="s">
        <v>66</v>
      </c>
      <c r="H27" s="8" t="s">
        <v>64</v>
      </c>
      <c r="I27" s="8" t="s">
        <v>65</v>
      </c>
      <c r="J27" s="68">
        <f>A27</f>
        <v>0</v>
      </c>
      <c r="L27" s="8" t="s">
        <v>19</v>
      </c>
      <c r="M27" s="8" t="s">
        <v>60</v>
      </c>
      <c r="N27" s="8" t="s">
        <v>61</v>
      </c>
      <c r="O27" s="8" t="s">
        <v>66</v>
      </c>
      <c r="P27" s="8" t="s">
        <v>64</v>
      </c>
      <c r="Q27" s="8" t="s">
        <v>65</v>
      </c>
    </row>
    <row r="28" spans="1:18" ht="15">
      <c r="A28">
        <v>1</v>
      </c>
      <c r="B28" t="s">
        <v>106</v>
      </c>
      <c r="C28" t="str">
        <f>IF('1-ARTISAN'!A4="","",'1-ARTISAN'!A4)</f>
        <v>Maladie - Tranche 1</v>
      </c>
      <c r="D28">
        <f>IF('1-ARTISAN'!B4="","",'1-ARTISAN'!B4)</f>
        <v>0</v>
      </c>
      <c r="E28">
        <f>IF('1-ARTISAN'!C4="","",'1-ARTISAN'!C4)</f>
        <v>0</v>
      </c>
      <c r="F28">
        <f>IF('1-ARTISAN'!D4="","",'1-ARTISAN'!D4)</f>
        <v>0</v>
      </c>
      <c r="G28" t="str">
        <f>IF('1-ARTISAN'!E4="","",'1-ARTISAN'!E4)</f>
        <v/>
      </c>
      <c r="H28" t="str">
        <f>IF('1-ARTISAN'!F4="","",'1-ARTISAN'!F4)</f>
        <v/>
      </c>
      <c r="I28">
        <f>IF('1-ARTISAN'!G4="","",'1-ARTISAN'!G4)</f>
        <v>0</v>
      </c>
      <c r="J28">
        <v>1</v>
      </c>
      <c r="K28" t="str">
        <f>IF('1-ARTISAN'!I4="","",'1-ARTISAN'!I4)</f>
        <v>Maladie - Tranche 1</v>
      </c>
      <c r="L28">
        <f>IF('1-ARTISAN'!J4="","",'1-ARTISAN'!J4)</f>
        <v>0</v>
      </c>
      <c r="M28">
        <f>IF('1-ARTISAN'!K4="","",'1-ARTISAN'!K4)</f>
        <v>0</v>
      </c>
      <c r="N28">
        <f>IF('1-ARTISAN'!L4="","",'1-ARTISAN'!L4)</f>
        <v>0</v>
      </c>
      <c r="O28" t="str">
        <f>IF('1-ARTISAN'!M4="","",'1-ARTISAN'!M4)</f>
        <v/>
      </c>
      <c r="P28" t="str">
        <f>IF('1-ARTISAN'!N4="","",'1-ARTISAN'!N4)</f>
        <v/>
      </c>
      <c r="Q28">
        <f>IF('1-ARTISAN'!O4="","",'1-ARTISAN'!O4)</f>
        <v>0</v>
      </c>
    </row>
    <row r="29" spans="1:18" ht="15">
      <c r="A29">
        <v>2</v>
      </c>
      <c r="B29" t="s">
        <v>107</v>
      </c>
      <c r="C29" t="str">
        <f>IF('2-ARTISTES'!A4="","",'2-ARTISTES'!A4)</f>
        <v>Assurance Vieillesse Déplafonnée</v>
      </c>
      <c r="D29">
        <f>IF('2-ARTISTES'!B4="","",'2-ARTISTES'!B4)</f>
        <v>0</v>
      </c>
      <c r="E29">
        <f>IF('2-ARTISTES'!C4="","",'2-ARTISTES'!C4)</f>
        <v>4.0000000000000001E-3</v>
      </c>
      <c r="F29">
        <f>IF('2-ARTISTES'!D4="","",'2-ARTISTES'!D4)</f>
        <v>0</v>
      </c>
      <c r="G29" t="str">
        <f>IF('2-ARTISTES'!E4="","",'2-ARTISTES'!E4)</f>
        <v>0,40%</v>
      </c>
      <c r="H29">
        <f>IF('2-ARTISTES'!F4="","",'2-ARTISTES'!F4)</f>
        <v>0</v>
      </c>
      <c r="I29">
        <f>IF('2-ARTISTES'!G4="","",'2-ARTISTES'!G4)</f>
        <v>0</v>
      </c>
      <c r="J29">
        <v>2</v>
      </c>
      <c r="K29" t="str">
        <f>IF('2-ARTISTES'!I4="","",'2-ARTISTES'!I4)</f>
        <v>Assurance Vieillesse Déplafonnée</v>
      </c>
      <c r="L29">
        <f>IF('2-ARTISTES'!J4="","",'2-ARTISTES'!J4)</f>
        <v>0</v>
      </c>
      <c r="M29">
        <f>IF('2-ARTISTES'!K4="","",'2-ARTISTES'!K4)</f>
        <v>4.0000000000000001E-3</v>
      </c>
      <c r="N29">
        <f>IF('2-ARTISTES'!L4="","",'2-ARTISTES'!L4)</f>
        <v>0</v>
      </c>
      <c r="O29" t="str">
        <f>IF('2-ARTISTES'!M4="","",'2-ARTISTES'!M4)</f>
        <v>0,40%</v>
      </c>
      <c r="P29">
        <f>IF('2-ARTISTES'!N4="","",'2-ARTISTES'!N4)</f>
        <v>0</v>
      </c>
      <c r="Q29">
        <f>IF('2-ARTISTES'!O4="","",'2-ARTISTES'!O4)</f>
        <v>0</v>
      </c>
    </row>
    <row r="30" spans="1:18" ht="15">
      <c r="A30">
        <v>3</v>
      </c>
      <c r="B30" t="s">
        <v>108</v>
      </c>
      <c r="C30" t="str">
        <f>IF('3-Chir_dent'!A4="","",'3-Chir_dent'!A4)</f>
        <v>Cotisation d'assurance maladie</v>
      </c>
      <c r="D30">
        <f>IF('3-Chir_dent'!B4="","",'3-Chir_dent'!B4)</f>
        <v>0</v>
      </c>
      <c r="E30">
        <f>IF('3-Chir_dent'!C4="","",'3-Chir_dent'!C4)</f>
        <v>0</v>
      </c>
      <c r="F30">
        <f>IF('3-Chir_dent'!D4="","",'3-Chir_dent'!D4)</f>
        <v>0</v>
      </c>
      <c r="G30" t="str">
        <f>IF('3-Chir_dent'!E4="","",'3-Chir_dent'!E4)</f>
        <v>PCPAM</v>
      </c>
      <c r="H30">
        <f>IF('3-Chir_dent'!F4="","",'3-Chir_dent'!F4)</f>
        <v>0</v>
      </c>
      <c r="I30">
        <f>IF('3-Chir_dent'!G4="","",'3-Chir_dent'!G4)</f>
        <v>0</v>
      </c>
      <c r="J30">
        <v>3</v>
      </c>
      <c r="K30" t="str">
        <f>IF('3-Chir_dent'!I4="","",'3-Chir_dent'!I4)</f>
        <v>Cotisation d'assurance maladie</v>
      </c>
      <c r="L30">
        <f>IF('3-Chir_dent'!J4="","",'3-Chir_dent'!J4)</f>
        <v>0</v>
      </c>
      <c r="M30">
        <f>IF('3-Chir_dent'!K4="","",'3-Chir_dent'!K4)</f>
        <v>0</v>
      </c>
      <c r="N30">
        <f>IF('3-Chir_dent'!L4="","",'3-Chir_dent'!L4)</f>
        <v>0</v>
      </c>
      <c r="O30" t="str">
        <f>IF('3-Chir_dent'!M4="","",'3-Chir_dent'!M4)</f>
        <v>PCPAM</v>
      </c>
      <c r="P30" t="e">
        <f>IF('3-Chir_dent'!N4="","",'3-Chir_dent'!N4)</f>
        <v>#DIV/0!</v>
      </c>
      <c r="Q30" t="e">
        <f>IF('3-Chir_dent'!O4="","",'3-Chir_dent'!O4)</f>
        <v>#DIV/0!</v>
      </c>
    </row>
    <row r="31" spans="1:18" ht="15">
      <c r="A31">
        <v>4</v>
      </c>
      <c r="B31" t="s">
        <v>109</v>
      </c>
      <c r="C31" t="str">
        <f>IF('4-COMMERCANT'!A4="","",'4-COMMERCANT'!A4)</f>
        <v>Maladie - Tranche 1</v>
      </c>
      <c r="D31">
        <f>IF('4-COMMERCANT'!B4="","",'4-COMMERCANT'!B4)</f>
        <v>0</v>
      </c>
      <c r="E31">
        <f>IF('4-COMMERCANT'!C4="","",'4-COMMERCANT'!C4)</f>
        <v>0</v>
      </c>
      <c r="F31">
        <f>IF('4-COMMERCANT'!D4="","",'4-COMMERCANT'!D4)</f>
        <v>0</v>
      </c>
      <c r="G31" t="str">
        <f>IF('4-COMMERCANT'!E4="","",'4-COMMERCANT'!E4)</f>
        <v/>
      </c>
      <c r="H31" t="str">
        <f>IF('4-COMMERCANT'!F4="","",'4-COMMERCANT'!F4)</f>
        <v/>
      </c>
      <c r="I31">
        <f>IF('4-COMMERCANT'!G4="","",'4-COMMERCANT'!G4)</f>
        <v>0</v>
      </c>
      <c r="J31">
        <v>4</v>
      </c>
      <c r="K31" t="str">
        <f>IF('4-COMMERCANT'!I4="","",'4-COMMERCANT'!I4)</f>
        <v>Maladie - Tranche 1</v>
      </c>
      <c r="L31">
        <f>IF('4-COMMERCANT'!J4="","",'4-COMMERCANT'!J4)</f>
        <v>0</v>
      </c>
      <c r="M31">
        <f>IF('4-COMMERCANT'!K4="","",'4-COMMERCANT'!K4)</f>
        <v>0</v>
      </c>
      <c r="N31">
        <f>IF('4-COMMERCANT'!L4="","",'4-COMMERCANT'!L4)</f>
        <v>0</v>
      </c>
      <c r="O31" t="str">
        <f>IF('4-COMMERCANT'!M4="","",'4-COMMERCANT'!M4)</f>
        <v/>
      </c>
      <c r="P31" t="str">
        <f>IF('4-COMMERCANT'!N4="","",'4-COMMERCANT'!N4)</f>
        <v/>
      </c>
      <c r="Q31">
        <f>IF('4-COMMERCANT'!O4="","",'4-COMMERCANT'!O4)</f>
        <v>0</v>
      </c>
    </row>
    <row r="32" spans="1:18" ht="15">
      <c r="A32">
        <v>5</v>
      </c>
      <c r="B32" t="s">
        <v>110</v>
      </c>
      <c r="C32" t="str">
        <f>IF('5-EC_CAC'!A4="","",'5-EC_CAC'!A4)</f>
        <v>Maladie 1</v>
      </c>
      <c r="D32">
        <f>IF('5-EC_CAC'!B4="","",'5-EC_CAC'!B4)</f>
        <v>0</v>
      </c>
      <c r="E32">
        <f>IF('5-EC_CAC'!C4="","",'5-EC_CAC'!C4)</f>
        <v>0</v>
      </c>
      <c r="F32">
        <f>IF('5-EC_CAC'!D4="","",'5-EC_CAC'!D4)</f>
        <v>0</v>
      </c>
      <c r="G32" t="str">
        <f>IF('5-EC_CAC'!E4="","",'5-EC_CAC'!E4)</f>
        <v/>
      </c>
      <c r="H32" t="str">
        <f>IF('5-EC_CAC'!F4="","",'5-EC_CAC'!F4)</f>
        <v/>
      </c>
      <c r="I32">
        <f>IF('5-EC_CAC'!G4="","",'5-EC_CAC'!G4)</f>
        <v>0</v>
      </c>
      <c r="J32">
        <v>5</v>
      </c>
      <c r="K32" t="str">
        <f>IF('5-EC_CAC'!I4="","",'5-EC_CAC'!I4)</f>
        <v>Maladie 1</v>
      </c>
      <c r="L32">
        <f>IF('5-EC_CAC'!J4="","",'5-EC_CAC'!J4)</f>
        <v>0</v>
      </c>
      <c r="M32">
        <f>IF('5-EC_CAC'!K4="","",'5-EC_CAC'!K4)</f>
        <v>0</v>
      </c>
      <c r="N32">
        <f>IF('5-EC_CAC'!L4="","",'5-EC_CAC'!L4)</f>
        <v>0</v>
      </c>
      <c r="O32" t="str">
        <f>IF('5-EC_CAC'!M4="","",'5-EC_CAC'!M4)</f>
        <v/>
      </c>
      <c r="P32" t="str">
        <f>IF('5-EC_CAC'!N4="","",'5-EC_CAC'!N4)</f>
        <v/>
      </c>
      <c r="Q32">
        <f>IF('5-EC_CAC'!O4="","",'5-EC_CAC'!O4)</f>
        <v>0</v>
      </c>
    </row>
    <row r="33" spans="1:18" ht="15">
      <c r="A33">
        <v>6</v>
      </c>
      <c r="B33" t="s">
        <v>111</v>
      </c>
      <c r="C33" t="str">
        <f>IF('6-MédS1'!A4="","",'6-MédS1'!A4)</f>
        <v>Cotisation d'assurance maladie</v>
      </c>
      <c r="D33">
        <f>IF('6-MédS1'!B4="","",'6-MédS1'!B4)</f>
        <v>0</v>
      </c>
      <c r="E33">
        <f>IF('6-MédS1'!C4="","",'6-MédS1'!C4)</f>
        <v>0</v>
      </c>
      <c r="F33">
        <f>IF('6-MédS1'!D4="","",'6-MédS1'!D4)</f>
        <v>0</v>
      </c>
      <c r="G33" t="str">
        <f>IF('6-MédS1'!E4="","",'6-MédS1'!E4)</f>
        <v>PCPAM</v>
      </c>
      <c r="H33">
        <f>IF('6-MédS1'!F4="","",'6-MédS1'!F4)</f>
        <v>0</v>
      </c>
      <c r="I33">
        <f>IF('6-MédS1'!G4="","",'6-MédS1'!G4)</f>
        <v>0</v>
      </c>
      <c r="J33">
        <v>6</v>
      </c>
      <c r="K33" t="str">
        <f>IF('6-MédS1'!I4="","",'6-MédS1'!I4)</f>
        <v>Cotisation d'assurance maladie</v>
      </c>
      <c r="L33">
        <f>IF('6-MédS1'!J4="","",'6-MédS1'!J4)</f>
        <v>0</v>
      </c>
      <c r="M33">
        <f>IF('6-MédS1'!K4="","",'6-MédS1'!K4)</f>
        <v>0</v>
      </c>
      <c r="N33">
        <f>IF('6-MédS1'!L4="","",'6-MédS1'!L4)</f>
        <v>0</v>
      </c>
      <c r="O33" t="str">
        <f>IF('6-MédS1'!M4="","",'6-MédS1'!M4)</f>
        <v>PCPAM</v>
      </c>
      <c r="P33">
        <f>IF('6-MédS1'!N4="","",'6-MédS1'!N4)</f>
        <v>0</v>
      </c>
      <c r="Q33">
        <f>IF('6-MédS1'!O4="","",'6-MédS1'!O4)</f>
        <v>0</v>
      </c>
    </row>
    <row r="34" spans="1:18" ht="15">
      <c r="A34">
        <v>7</v>
      </c>
      <c r="B34" t="s">
        <v>112</v>
      </c>
      <c r="C34" t="str">
        <f>IF('7-MédS2'!A4="","",'7-MédS2'!A4)</f>
        <v>Cotisation d'assurance maladie</v>
      </c>
      <c r="D34">
        <f>IF('7-MédS2'!B4="","",'7-MédS2'!B4)</f>
        <v>0</v>
      </c>
      <c r="E34">
        <f>IF('7-MédS2'!C4="","",'7-MédS2'!C4)</f>
        <v>0</v>
      </c>
      <c r="F34">
        <f>IF('7-MédS2'!D4="","",'7-MédS2'!D4)</f>
        <v>0</v>
      </c>
      <c r="G34" t="str">
        <f>IF('7-MédS2'!E4="","",'7-MédS2'!E4)</f>
        <v/>
      </c>
      <c r="H34" t="str">
        <f>IF('7-MédS2'!F4="","",'7-MédS2'!F4)</f>
        <v/>
      </c>
      <c r="I34">
        <f>IF('7-MédS2'!G4="","",'7-MédS2'!G4)</f>
        <v>0</v>
      </c>
      <c r="J34">
        <v>7</v>
      </c>
      <c r="K34" t="str">
        <f>IF('7-MédS2'!I4="","",'7-MédS2'!I4)</f>
        <v>Cotisation d'assurance maladie</v>
      </c>
      <c r="L34">
        <f>IF('7-MédS2'!J4="","",'7-MédS2'!J4)</f>
        <v>0</v>
      </c>
      <c r="M34">
        <f>IF('7-MédS2'!K4="","",'7-MédS2'!K4)</f>
        <v>0</v>
      </c>
      <c r="N34">
        <f>IF('7-MédS2'!L4="","",'7-MédS2'!L4)</f>
        <v>0</v>
      </c>
      <c r="O34" t="str">
        <f>IF('7-MédS2'!M4="","",'7-MédS2'!M4)</f>
        <v/>
      </c>
      <c r="P34" t="str">
        <f>IF('7-MédS2'!N4="","",'7-MédS2'!N4)</f>
        <v/>
      </c>
      <c r="Q34">
        <f>IF('7-MédS2'!O4="","",'7-MédS2'!O4)</f>
        <v>0</v>
      </c>
    </row>
    <row r="35" spans="1:18" ht="15">
      <c r="A35">
        <v>8</v>
      </c>
      <c r="B35" t="s">
        <v>113</v>
      </c>
      <c r="C35" t="str">
        <f>IF('8-PAM'!A4="","",'8-PAM'!A4)</f>
        <v>Cotisation d'assurance maladie</v>
      </c>
      <c r="D35">
        <f>IF('8-PAM'!B4="","",'8-PAM'!B4)</f>
        <v>0</v>
      </c>
      <c r="E35">
        <f>IF('8-PAM'!C4="","",'8-PAM'!C4)</f>
        <v>0</v>
      </c>
      <c r="F35">
        <f>IF('8-PAM'!D4="","",'8-PAM'!D4)</f>
        <v>0</v>
      </c>
      <c r="G35" t="str">
        <f>IF('8-PAM'!E4="","",'8-PAM'!E4)</f>
        <v>PCPAM</v>
      </c>
      <c r="H35">
        <f>IF('8-PAM'!F4="","",'8-PAM'!F4)</f>
        <v>0</v>
      </c>
      <c r="I35">
        <f>IF('8-PAM'!G4="","",'8-PAM'!G4)</f>
        <v>0</v>
      </c>
      <c r="J35">
        <v>8</v>
      </c>
      <c r="K35" t="str">
        <f>IF('8-PAM'!I4="","",'8-PAM'!I4)</f>
        <v>Cotisation d'assurance maladie</v>
      </c>
      <c r="L35">
        <f>IF('8-PAM'!J4="","",'8-PAM'!J4)</f>
        <v>0</v>
      </c>
      <c r="M35">
        <f>IF('8-PAM'!K4="","",'8-PAM'!K4)</f>
        <v>0</v>
      </c>
      <c r="N35">
        <f>IF('8-PAM'!L4="","",'8-PAM'!L4)</f>
        <v>0</v>
      </c>
      <c r="O35" t="str">
        <f>IF('8-PAM'!M4="","",'8-PAM'!M4)</f>
        <v>PCPAM</v>
      </c>
      <c r="P35">
        <f>IF('8-PAM'!N4="","",'8-PAM'!N4)</f>
        <v>0</v>
      </c>
      <c r="Q35">
        <f>IF('8-PAM'!O4="","",'8-PAM'!O4)</f>
        <v>0</v>
      </c>
    </row>
    <row r="36" spans="1:18" ht="15">
      <c r="A36">
        <v>9</v>
      </c>
      <c r="B36" t="s">
        <v>114</v>
      </c>
      <c r="C36" t="str">
        <f>IF('9-CIPAV'!A4="","",'9-CIPAV'!A4)</f>
        <v>Maladie 1</v>
      </c>
      <c r="D36">
        <f>IF('9-CIPAV'!B4="","",'9-CIPAV'!B4)</f>
        <v>0</v>
      </c>
      <c r="E36">
        <f>IF('9-CIPAV'!C4="","",'9-CIPAV'!C4)</f>
        <v>0</v>
      </c>
      <c r="F36">
        <f>IF('9-CIPAV'!D4="","",'9-CIPAV'!D4)</f>
        <v>0</v>
      </c>
      <c r="G36" t="str">
        <f>IF('9-CIPAV'!E4="","",'9-CIPAV'!E4)</f>
        <v/>
      </c>
      <c r="H36" t="str">
        <f>IF('9-CIPAV'!F4="","",'9-CIPAV'!F4)</f>
        <v/>
      </c>
      <c r="I36">
        <f>IF('9-CIPAV'!G4="","",'9-CIPAV'!G4)</f>
        <v>0</v>
      </c>
      <c r="J36">
        <v>9</v>
      </c>
      <c r="K36" t="str">
        <f>IF('9-CIPAV'!I4="","",'9-CIPAV'!I4)</f>
        <v>Maladie 1</v>
      </c>
      <c r="L36">
        <f>IF('9-CIPAV'!J4="","",'9-CIPAV'!J4)</f>
        <v>0</v>
      </c>
      <c r="M36">
        <f>IF('9-CIPAV'!K4="","",'9-CIPAV'!K4)</f>
        <v>0</v>
      </c>
      <c r="N36">
        <f>IF('9-CIPAV'!L4="","",'9-CIPAV'!L4)</f>
        <v>0</v>
      </c>
      <c r="O36" t="str">
        <f>IF('9-CIPAV'!M4="","",'9-CIPAV'!M4)</f>
        <v/>
      </c>
      <c r="P36" t="str">
        <f>IF('9-CIPAV'!N4="","",'9-CIPAV'!N4)</f>
        <v/>
      </c>
      <c r="Q36">
        <f>IF('9-CIPAV'!O4="","",'9-CIPAV'!O4)</f>
        <v>0</v>
      </c>
    </row>
    <row r="37" spans="1:18" ht="15">
      <c r="A37">
        <v>10</v>
      </c>
      <c r="B37" t="s">
        <v>115</v>
      </c>
      <c r="C37" t="str">
        <f>IF('10-BNC-SSI'!A4="","",'10-BNC-SSI'!A4)</f>
        <v>Maladie - Tranche 1</v>
      </c>
      <c r="D37">
        <f>IF('10-BNC-SSI'!B4="","",'10-BNC-SSI'!B4)</f>
        <v>0</v>
      </c>
      <c r="E37">
        <f>IF('10-BNC-SSI'!C4="","",'10-BNC-SSI'!C4)</f>
        <v>0</v>
      </c>
      <c r="F37">
        <f>IF('10-BNC-SSI'!D4="","",'10-BNC-SSI'!D4)</f>
        <v>0</v>
      </c>
      <c r="G37" t="str">
        <f>IF('10-BNC-SSI'!E4="","",'10-BNC-SSI'!E4)</f>
        <v/>
      </c>
      <c r="H37" t="str">
        <f>IF('10-BNC-SSI'!F4="","",'10-BNC-SSI'!F4)</f>
        <v/>
      </c>
      <c r="I37">
        <f>IF('10-BNC-SSI'!G4="","",'10-BNC-SSI'!G4)</f>
        <v>0</v>
      </c>
      <c r="J37">
        <v>10</v>
      </c>
      <c r="K37" t="str">
        <f>IF('10-BNC-SSI'!I4="","",'10-BNC-SSI'!I4)</f>
        <v>Maladie - Tranche 1</v>
      </c>
      <c r="L37">
        <f>IF('10-BNC-SSI'!J4="","",'10-BNC-SSI'!J4)</f>
        <v>0</v>
      </c>
      <c r="M37">
        <f>IF('10-BNC-SSI'!K4="","",'10-BNC-SSI'!K4)</f>
        <v>0</v>
      </c>
      <c r="N37">
        <f>IF('10-BNC-SSI'!L4="","",'10-BNC-SSI'!L4)</f>
        <v>0</v>
      </c>
      <c r="O37" t="str">
        <f>IF('10-BNC-SSI'!M4="","",'10-BNC-SSI'!M4)</f>
        <v/>
      </c>
      <c r="P37" t="str">
        <f>IF('10-BNC-SSI'!N4="","",'10-BNC-SSI'!N4)</f>
        <v/>
      </c>
      <c r="Q37">
        <f>IF('10-BNC-SSI'!O4="","",'10-BNC-SSI'!O4)</f>
        <v>0</v>
      </c>
    </row>
    <row r="38" spans="1:18" ht="15">
      <c r="A38">
        <v>11</v>
      </c>
      <c r="B38" t="s">
        <v>116</v>
      </c>
      <c r="C38" t="str">
        <f>IF('11-SF'!A4="","",'11-SF'!A4)</f>
        <v>Cotisation d'assurance maladie</v>
      </c>
      <c r="D38">
        <f>IF('11-SF'!B4="","",'11-SF'!B4)</f>
        <v>0</v>
      </c>
      <c r="E38">
        <f>IF('11-SF'!C4="","",'11-SF'!C4)</f>
        <v>0</v>
      </c>
      <c r="F38">
        <f>IF('11-SF'!D4="","",'11-SF'!D4)</f>
        <v>0</v>
      </c>
      <c r="G38" t="str">
        <f>IF('11-SF'!E4="","",'11-SF'!E4)</f>
        <v>PCPAM</v>
      </c>
      <c r="H38">
        <f>IF('11-SF'!F4="","",'11-SF'!F4)</f>
        <v>0</v>
      </c>
      <c r="I38">
        <f>IF('11-SF'!G4="","",'11-SF'!G4)</f>
        <v>0</v>
      </c>
      <c r="J38">
        <v>11</v>
      </c>
      <c r="K38" t="str">
        <f>IF('11-SF'!I4="","",'11-SF'!I4)</f>
        <v>Cotisation d'assurance maladie</v>
      </c>
      <c r="L38">
        <f>IF('11-SF'!J4="","",'11-SF'!J4)</f>
        <v>0</v>
      </c>
      <c r="M38">
        <f>IF('11-SF'!K4="","",'11-SF'!K4)</f>
        <v>0</v>
      </c>
      <c r="N38">
        <f>IF('11-SF'!L4="","",'11-SF'!L4)</f>
        <v>0</v>
      </c>
      <c r="O38" t="str">
        <f>IF('11-SF'!M4="","",'11-SF'!M4)</f>
        <v>PCPAM</v>
      </c>
      <c r="P38">
        <f>IF('11-SF'!N4="","",'11-SF'!N4)</f>
        <v>0</v>
      </c>
      <c r="Q38">
        <f>IF('11-SF'!O4="","",'11-SF'!O4)</f>
        <v>0</v>
      </c>
    </row>
    <row r="39" spans="1:18" ht="15">
      <c r="A39">
        <v>12</v>
      </c>
      <c r="B39" t="s">
        <v>117</v>
      </c>
      <c r="C39" t="str">
        <f>IF('12-VETO'!A4="","",'12-VETO'!A4)</f>
        <v>Maladie 1</v>
      </c>
      <c r="D39">
        <f>IF('12-VETO'!B4="","",'12-VETO'!B4)</f>
        <v>0</v>
      </c>
      <c r="E39">
        <f>IF('12-VETO'!C4="","",'12-VETO'!C4)</f>
        <v>0</v>
      </c>
      <c r="F39">
        <f>IF('12-VETO'!D4="","",'12-VETO'!D4)</f>
        <v>0</v>
      </c>
      <c r="G39" t="str">
        <f>IF('12-VETO'!E4="","",'12-VETO'!E4)</f>
        <v/>
      </c>
      <c r="H39" t="str">
        <f>IF('12-VETO'!F4="","",'12-VETO'!F4)</f>
        <v/>
      </c>
      <c r="I39">
        <f>IF('12-VETO'!G4="","",'12-VETO'!G4)</f>
        <v>0</v>
      </c>
      <c r="J39">
        <v>12</v>
      </c>
      <c r="K39" t="str">
        <f>IF('12-VETO'!I4="","",'12-VETO'!I4)</f>
        <v>Maladie 1</v>
      </c>
      <c r="L39">
        <f>IF('12-VETO'!J4="","",'12-VETO'!J4)</f>
        <v>0</v>
      </c>
      <c r="M39">
        <f>IF('12-VETO'!K4="","",'12-VETO'!K4)</f>
        <v>0</v>
      </c>
      <c r="N39">
        <f>IF('12-VETO'!L4="","",'12-VETO'!L4)</f>
        <v>0</v>
      </c>
      <c r="O39" t="str">
        <f>IF('12-VETO'!M4="","",'12-VETO'!M4)</f>
        <v/>
      </c>
      <c r="P39" t="str">
        <f>IF('12-VETO'!N4="","",'12-VETO'!N4)</f>
        <v/>
      </c>
      <c r="Q39">
        <f>IF('12-VETO'!O4="","",'12-VETO'!O4)</f>
        <v>0</v>
      </c>
    </row>
    <row r="40" spans="1:18" ht="15">
      <c r="A40">
        <v>13</v>
      </c>
      <c r="B40" t="s">
        <v>168</v>
      </c>
      <c r="C40" t="str">
        <f>IF('13-AGENT D''ASS'!A4="","",'13-AGENT D''ASS'!A4)</f>
        <v>Maladie 1</v>
      </c>
      <c r="D40">
        <f>IF('13-AGENT D''ASS'!B4="","",'13-AGENT D''ASS'!B4)</f>
        <v>0</v>
      </c>
      <c r="E40">
        <f>IF('13-AGENT D''ASS'!C4="","",'13-AGENT D''ASS'!C4)</f>
        <v>0</v>
      </c>
      <c r="F40">
        <f>IF('13-AGENT D''ASS'!D4="","",'13-AGENT D''ASS'!D4)</f>
        <v>0</v>
      </c>
      <c r="G40" t="str">
        <f>IF('13-AGENT D''ASS'!E4="","",'13-AGENT D''ASS'!E4)</f>
        <v/>
      </c>
      <c r="H40" t="str">
        <f>IF('13-AGENT D''ASS'!F4="","",'13-AGENT D''ASS'!F4)</f>
        <v/>
      </c>
      <c r="I40">
        <f>IF('13-AGENT D''ASS'!G4="","",'13-AGENT D''ASS'!G4)</f>
        <v>0</v>
      </c>
      <c r="J40">
        <v>13</v>
      </c>
      <c r="K40" t="str">
        <f>IF('13-AGENT D''ASS'!I4="","",'13-AGENT D''ASS'!I4)</f>
        <v>Maladie 1</v>
      </c>
      <c r="L40">
        <f>IF('13-AGENT D''ASS'!J4="","",'13-AGENT D''ASS'!J4)</f>
        <v>0</v>
      </c>
      <c r="M40">
        <f>IF('13-AGENT D''ASS'!K4="","",'13-AGENT D''ASS'!K4)</f>
        <v>0</v>
      </c>
      <c r="N40">
        <f>IF('13-AGENT D''ASS'!L4="","",'13-AGENT D''ASS'!L4)</f>
        <v>0</v>
      </c>
      <c r="O40" t="str">
        <f>IF('13-AGENT D''ASS'!M4="","",'13-AGENT D''ASS'!M4)</f>
        <v/>
      </c>
      <c r="P40" t="str">
        <f>IF('13-AGENT D''ASS'!N4="","",'13-AGENT D''ASS'!N4)</f>
        <v/>
      </c>
      <c r="Q40">
        <f>IF('13-AGENT D''ASS'!O4="","",'13-AGENT D''ASS'!O4)</f>
        <v>0</v>
      </c>
    </row>
    <row r="41" spans="1:18" ht="15">
      <c r="A41">
        <v>14</v>
      </c>
      <c r="B41" t="s">
        <v>169</v>
      </c>
      <c r="C41" t="str">
        <f>IF('14-Avocats'!A4="","",'14-Avocats'!A4)</f>
        <v>Maladie 1</v>
      </c>
      <c r="D41">
        <f>IF('14-Avocats'!B4="","",'14-Avocats'!B4)</f>
        <v>0</v>
      </c>
      <c r="E41">
        <f>IF('14-Avocats'!C4="","",'14-Avocats'!C4)</f>
        <v>0</v>
      </c>
      <c r="F41">
        <f>IF('14-Avocats'!D4="","",'14-Avocats'!D4)</f>
        <v>0</v>
      </c>
      <c r="G41" t="str">
        <f>IF('14-Avocats'!E4="","",'14-Avocats'!E4)</f>
        <v/>
      </c>
      <c r="H41" t="str">
        <f>IF('14-Avocats'!F4="","",'14-Avocats'!F4)</f>
        <v/>
      </c>
      <c r="I41">
        <f>IF('14-Avocats'!G4="","",'14-Avocats'!G4)</f>
        <v>0</v>
      </c>
      <c r="J41">
        <v>14</v>
      </c>
      <c r="K41" t="str">
        <f>IF('14-Avocats'!I4="","",'14-Avocats'!I4)</f>
        <v>Maladie 1</v>
      </c>
      <c r="L41">
        <f>IF('14-Avocats'!J4="","",'14-Avocats'!J4)</f>
        <v>0</v>
      </c>
      <c r="M41">
        <f>IF('14-Avocats'!K4="","",'14-Avocats'!K4)</f>
        <v>0</v>
      </c>
      <c r="N41">
        <f>IF('14-Avocats'!L4="","",'14-Avocats'!L4)</f>
        <v>0</v>
      </c>
      <c r="O41" t="str">
        <f>IF('14-Avocats'!M4="","",'14-Avocats'!M4)</f>
        <v/>
      </c>
      <c r="P41" t="str">
        <f>IF('14-Avocats'!N4="","",'14-Avocats'!N4)</f>
        <v/>
      </c>
      <c r="Q41">
        <f>IF('14-Avocats'!O4="","",'14-Avocats'!O4)</f>
        <v>0</v>
      </c>
    </row>
    <row r="42" spans="1:18" ht="15">
      <c r="A42">
        <v>15</v>
      </c>
      <c r="B42" t="s">
        <v>203</v>
      </c>
      <c r="C42" t="str">
        <f>IF('15-PODO'!A4="","",'15-PODO'!A4)</f>
        <v>Cotisation d'assurance maladie</v>
      </c>
      <c r="D42">
        <f>IF('15-PODO'!B4="","",'15-PODO'!B4)</f>
        <v>0</v>
      </c>
      <c r="E42">
        <f>IF('15-PODO'!C4="","",'15-PODO'!C4)</f>
        <v>0</v>
      </c>
      <c r="F42">
        <f>IF('15-PODO'!D4="","",'15-PODO'!D4)</f>
        <v>0</v>
      </c>
      <c r="G42" t="str">
        <f>IF('15-PODO'!E4="","",'15-PODO'!E4)</f>
        <v/>
      </c>
      <c r="H42" t="str">
        <f>IF('15-PODO'!F4="","",'15-PODO'!F4)</f>
        <v/>
      </c>
      <c r="I42">
        <f>IF('15-PODO'!G4="","",'15-PODO'!G4)</f>
        <v>0</v>
      </c>
      <c r="J42">
        <v>15</v>
      </c>
      <c r="K42" t="str">
        <f>IF('15-PODO'!I4="","",'15-PODO'!I4)</f>
        <v>Cotisation d'assurance maladie</v>
      </c>
      <c r="L42">
        <f>IF('15-PODO'!J4="","",'15-PODO'!J4)</f>
        <v>0</v>
      </c>
      <c r="M42">
        <f>IF('15-PODO'!K4="","",'15-PODO'!K4)</f>
        <v>0</v>
      </c>
      <c r="N42">
        <f>IF('15-PODO'!L4="","",'15-PODO'!L4)</f>
        <v>0</v>
      </c>
      <c r="O42" t="str">
        <f>IF('15-PODO'!M4="","",'15-PODO'!M4)</f>
        <v/>
      </c>
      <c r="P42" t="str">
        <f>IF('15-PODO'!N4="","",'15-PODO'!N4)</f>
        <v/>
      </c>
      <c r="Q42">
        <f>IF('15-PODO'!O4="","",'15-PODO'!O4)</f>
        <v>0</v>
      </c>
    </row>
    <row r="43" spans="1:18">
      <c r="B43" s="18" t="s">
        <v>135</v>
      </c>
      <c r="C43" s="18" t="e">
        <f>VLOOKUP($A$27,$A$28:$I$42,3,FALSE)</f>
        <v>#N/A</v>
      </c>
      <c r="D43" s="64" t="e">
        <f>VLOOKUP($A$27,$A$28:$I$42,4,FALSE)</f>
        <v>#N/A</v>
      </c>
      <c r="E43" s="46" t="e">
        <f>VLOOKUP($A$27,$A$28:$I$42,5,FALSE)</f>
        <v>#N/A</v>
      </c>
      <c r="F43" s="65" t="e">
        <f>VLOOKUP($A$27,$A$28:$I$42,6,FALSE)</f>
        <v>#N/A</v>
      </c>
      <c r="G43" s="46" t="e">
        <f>VLOOKUP($A$27,$A$28:$I$42,7,FALSE)</f>
        <v>#N/A</v>
      </c>
      <c r="H43" s="65" t="e">
        <f>VLOOKUP($A$27,$A$28:$I$42,8,FALSE)</f>
        <v>#N/A</v>
      </c>
      <c r="I43" s="65" t="e">
        <f>VLOOKUP($A$27,$A$28:$I$42,9,FALSE)</f>
        <v>#N/A</v>
      </c>
      <c r="J43" s="66" t="e">
        <f>IF(LEFT(C43,5)="TOTAL",1,0)</f>
        <v>#N/A</v>
      </c>
      <c r="K43" s="18" t="e">
        <f>VLOOKUP($A$27,$J$28:$Q$42,2,FALSE)</f>
        <v>#N/A</v>
      </c>
      <c r="L43" s="18" t="e">
        <f>VLOOKUP($A$27,$J$28:$Q$42,3,FALSE)</f>
        <v>#N/A</v>
      </c>
      <c r="M43" s="18" t="e">
        <f>VLOOKUP($A$27,$J$28:$Q$42,4,FALSE)</f>
        <v>#N/A</v>
      </c>
      <c r="N43" s="18" t="e">
        <f>VLOOKUP($A$27,$J$28:$Q$42,5,FALSE)</f>
        <v>#N/A</v>
      </c>
      <c r="O43" s="18" t="e">
        <f>VLOOKUP($A$27,$J$28:$Q$42,6,FALSE)</f>
        <v>#N/A</v>
      </c>
      <c r="P43" s="18" t="e">
        <f>VLOOKUP($A$27,$J$28:$Q$42,7,FALSE)</f>
        <v>#N/A</v>
      </c>
      <c r="Q43" s="18" t="e">
        <f>VLOOKUP($A$27,$J$28:$Q$42,8,FALSE)</f>
        <v>#N/A</v>
      </c>
      <c r="R43" s="66" t="e">
        <f>IF(LEFT(K43,5)="TOTAL",1,0)</f>
        <v>#N/A</v>
      </c>
    </row>
    <row r="45" spans="1:18">
      <c r="A45">
        <f>CAS</f>
        <v>0</v>
      </c>
      <c r="B45" t="s">
        <v>136</v>
      </c>
      <c r="D45" s="8" t="s">
        <v>19</v>
      </c>
      <c r="E45" s="8" t="s">
        <v>60</v>
      </c>
      <c r="F45" s="8" t="s">
        <v>61</v>
      </c>
      <c r="G45" s="8" t="s">
        <v>66</v>
      </c>
      <c r="H45" s="8" t="s">
        <v>64</v>
      </c>
      <c r="I45" s="8" t="s">
        <v>65</v>
      </c>
    </row>
    <row r="46" spans="1:18" ht="15">
      <c r="A46">
        <v>1</v>
      </c>
      <c r="B46" t="s">
        <v>106</v>
      </c>
      <c r="C46" t="str">
        <f>IF('1-ARTISAN'!A5="","",'1-ARTISAN'!A5)</f>
        <v>Maladie - Tranche 2</v>
      </c>
      <c r="D46">
        <f>IF('1-ARTISAN'!B5="","",'1-ARTISAN'!B5)</f>
        <v>0</v>
      </c>
      <c r="E46">
        <f>IF('1-ARTISAN'!C5="","",'1-ARTISAN'!C5)</f>
        <v>6.5000000000000002E-2</v>
      </c>
      <c r="F46">
        <f>IF('1-ARTISAN'!D5="","",'1-ARTISAN'!D5)</f>
        <v>0</v>
      </c>
      <c r="G46" t="str">
        <f>IF('1-ARTISAN'!E5="","",'1-ARTISAN'!E5)</f>
        <v/>
      </c>
      <c r="H46" t="str">
        <f>IF('1-ARTISAN'!F5="","",'1-ARTISAN'!F5)</f>
        <v/>
      </c>
      <c r="I46">
        <f>IF('1-ARTISAN'!G5="","",'1-ARTISAN'!G5)</f>
        <v>0</v>
      </c>
      <c r="J46">
        <v>1</v>
      </c>
      <c r="K46" t="str">
        <f>IF('1-ARTISAN'!I5="","",'1-ARTISAN'!I5)</f>
        <v>Maladie - Tranche 2</v>
      </c>
      <c r="L46">
        <f>IF('1-ARTISAN'!J5="","",'1-ARTISAN'!J5)</f>
        <v>0</v>
      </c>
      <c r="M46">
        <f>IF('1-ARTISAN'!K5="","",'1-ARTISAN'!K5)</f>
        <v>6.5000000000000002E-2</v>
      </c>
      <c r="N46">
        <f>IF('1-ARTISAN'!L5="","",'1-ARTISAN'!L5)</f>
        <v>0</v>
      </c>
      <c r="O46" t="str">
        <f>IF('1-ARTISAN'!M5="","",'1-ARTISAN'!M5)</f>
        <v/>
      </c>
      <c r="P46" t="str">
        <f>IF('1-ARTISAN'!N5="","",'1-ARTISAN'!N5)</f>
        <v/>
      </c>
      <c r="Q46">
        <f>IF('1-ARTISAN'!O5="","",'1-ARTISAN'!O5)</f>
        <v>0</v>
      </c>
    </row>
    <row r="47" spans="1:18" ht="15">
      <c r="A47">
        <v>2</v>
      </c>
      <c r="B47" t="s">
        <v>107</v>
      </c>
      <c r="C47" t="str">
        <f>IF('2-ARTISTES'!A5="","",'2-ARTISTES'!A5)</f>
        <v>Assurance Vieillesse Plafonnée</v>
      </c>
      <c r="D47">
        <f>IF('2-ARTISTES'!B5="","",'2-ARTISTES'!B5)</f>
        <v>0</v>
      </c>
      <c r="E47">
        <f>IF('2-ARTISTES'!C5="","",'2-ARTISTES'!C5)</f>
        <v>6.9000000000000006E-2</v>
      </c>
      <c r="F47">
        <f>IF('2-ARTISTES'!D5="","",'2-ARTISTES'!D5)</f>
        <v>0</v>
      </c>
      <c r="G47" t="str">
        <f>IF('2-ARTISTES'!E5="","",'2-ARTISTES'!E5)</f>
        <v>0,75%</v>
      </c>
      <c r="H47">
        <f>IF('2-ARTISTES'!F5="","",'2-ARTISTES'!F5)</f>
        <v>0</v>
      </c>
      <c r="I47">
        <f>IF('2-ARTISTES'!G5="","",'2-ARTISTES'!G5)</f>
        <v>0</v>
      </c>
      <c r="J47">
        <v>2</v>
      </c>
      <c r="K47" t="str">
        <f>IF('2-ARTISTES'!I5="","",'2-ARTISTES'!I5)</f>
        <v>Assurance Vieillesse Plafonnée</v>
      </c>
      <c r="L47">
        <f>IF('2-ARTISTES'!J5="","",'2-ARTISTES'!J5)</f>
        <v>0</v>
      </c>
      <c r="M47">
        <f>IF('2-ARTISTES'!K5="","",'2-ARTISTES'!K5)</f>
        <v>6.9000000000000006E-2</v>
      </c>
      <c r="N47">
        <f>IF('2-ARTISTES'!L5="","",'2-ARTISTES'!L5)</f>
        <v>0</v>
      </c>
      <c r="O47" t="str">
        <f>IF('2-ARTISTES'!M5="","",'2-ARTISTES'!M5)</f>
        <v>0,75%</v>
      </c>
      <c r="P47">
        <f>IF('2-ARTISTES'!N5="","",'2-ARTISTES'!N5)</f>
        <v>0</v>
      </c>
      <c r="Q47">
        <f>IF('2-ARTISTES'!O5="","",'2-ARTISTES'!O5)</f>
        <v>0</v>
      </c>
    </row>
    <row r="48" spans="1:18" ht="15">
      <c r="A48">
        <v>3</v>
      </c>
      <c r="B48" t="s">
        <v>108</v>
      </c>
      <c r="C48" t="str">
        <f>IF('3-Chir_dent'!A5="","",'3-Chir_dent'!A5)</f>
        <v>Indemnités Journalières</v>
      </c>
      <c r="D48">
        <f>IF('3-Chir_dent'!B5="","",'3-Chir_dent'!B5)</f>
        <v>18547</v>
      </c>
      <c r="E48">
        <f>IF('3-Chir_dent'!C5="","",'3-Chir_dent'!C5)</f>
        <v>3.0000000000000001E-3</v>
      </c>
      <c r="F48">
        <f>IF('3-Chir_dent'!D5="","",'3-Chir_dent'!D5)</f>
        <v>56</v>
      </c>
      <c r="G48" t="str">
        <f>IF('3-Chir_dent'!E5="","",'3-Chir_dent'!E5)</f>
        <v/>
      </c>
      <c r="H48" t="str">
        <f>IF('3-Chir_dent'!F5="","",'3-Chir_dent'!F5)</f>
        <v/>
      </c>
      <c r="I48">
        <f>IF('3-Chir_dent'!G5="","",'3-Chir_dent'!G5)</f>
        <v>56</v>
      </c>
      <c r="J48">
        <v>3</v>
      </c>
      <c r="K48" t="str">
        <f>IF('3-Chir_dent'!I5="","",'3-Chir_dent'!I5)</f>
        <v>Indemnités Journalières</v>
      </c>
      <c r="L48">
        <f>IF('3-Chir_dent'!J5="","",'3-Chir_dent'!J5)</f>
        <v>18547</v>
      </c>
      <c r="M48">
        <f>IF('3-Chir_dent'!K5="","",'3-Chir_dent'!K5)</f>
        <v>3.0000000000000001E-3</v>
      </c>
      <c r="N48">
        <f>IF('3-Chir_dent'!L5="","",'3-Chir_dent'!L5)</f>
        <v>56</v>
      </c>
      <c r="O48" t="str">
        <f>IF('3-Chir_dent'!M5="","",'3-Chir_dent'!M5)</f>
        <v/>
      </c>
      <c r="P48" t="str">
        <f>IF('3-Chir_dent'!N5="","",'3-Chir_dent'!N5)</f>
        <v/>
      </c>
      <c r="Q48">
        <f>IF('3-Chir_dent'!O5="","",'3-Chir_dent'!O5)</f>
        <v>56</v>
      </c>
    </row>
    <row r="49" spans="1:18" ht="15">
      <c r="A49">
        <v>4</v>
      </c>
      <c r="B49" t="s">
        <v>109</v>
      </c>
      <c r="C49" t="str">
        <f>IF('4-COMMERCANT'!A5="","",'4-COMMERCANT'!A5)</f>
        <v>Maladie - Tranche 2</v>
      </c>
      <c r="D49">
        <f>IF('4-COMMERCANT'!B5="","",'4-COMMERCANT'!B5)</f>
        <v>0</v>
      </c>
      <c r="E49">
        <f>IF('4-COMMERCANT'!C5="","",'4-COMMERCANT'!C5)</f>
        <v>6.5000000000000002E-2</v>
      </c>
      <c r="F49">
        <f>IF('4-COMMERCANT'!D5="","",'4-COMMERCANT'!D5)</f>
        <v>0</v>
      </c>
      <c r="G49" t="str">
        <f>IF('4-COMMERCANT'!E5="","",'4-COMMERCANT'!E5)</f>
        <v/>
      </c>
      <c r="H49" t="str">
        <f>IF('4-COMMERCANT'!F5="","",'4-COMMERCANT'!F5)</f>
        <v/>
      </c>
      <c r="I49">
        <f>IF('4-COMMERCANT'!G5="","",'4-COMMERCANT'!G5)</f>
        <v>0</v>
      </c>
      <c r="J49">
        <v>4</v>
      </c>
      <c r="K49" t="str">
        <f>IF('4-COMMERCANT'!I5="","",'4-COMMERCANT'!I5)</f>
        <v>Maladie - Tranche 2</v>
      </c>
      <c r="L49">
        <f>IF('4-COMMERCANT'!J5="","",'4-COMMERCANT'!J5)</f>
        <v>0</v>
      </c>
      <c r="M49">
        <f>IF('4-COMMERCANT'!K5="","",'4-COMMERCANT'!K5)</f>
        <v>6.5000000000000002E-2</v>
      </c>
      <c r="N49">
        <f>IF('4-COMMERCANT'!L5="","",'4-COMMERCANT'!L5)</f>
        <v>0</v>
      </c>
      <c r="O49" t="str">
        <f>IF('4-COMMERCANT'!M5="","",'4-COMMERCANT'!M5)</f>
        <v/>
      </c>
      <c r="P49" t="str">
        <f>IF('4-COMMERCANT'!N5="","",'4-COMMERCANT'!N5)</f>
        <v/>
      </c>
      <c r="Q49">
        <f>IF('4-COMMERCANT'!O5="","",'4-COMMERCANT'!O5)</f>
        <v>0</v>
      </c>
    </row>
    <row r="50" spans="1:18" ht="15">
      <c r="A50">
        <v>5</v>
      </c>
      <c r="B50" t="s">
        <v>110</v>
      </c>
      <c r="C50" t="str">
        <f>IF('5-EC_CAC'!A5="","",'5-EC_CAC'!A5)</f>
        <v>Indemnités Journalières</v>
      </c>
      <c r="D50">
        <f>IF('5-EC_CAC'!B5="","",'5-EC_CAC'!B5)</f>
        <v>18547</v>
      </c>
      <c r="E50">
        <f>IF('5-EC_CAC'!C5="","",'5-EC_CAC'!C5)</f>
        <v>3.0000000000000001E-3</v>
      </c>
      <c r="F50">
        <f>IF('5-EC_CAC'!D5="","",'5-EC_CAC'!D5)</f>
        <v>56</v>
      </c>
      <c r="G50" t="str">
        <f>IF('5-EC_CAC'!E5="","",'5-EC_CAC'!E5)</f>
        <v/>
      </c>
      <c r="H50" t="str">
        <f>IF('5-EC_CAC'!F5="","",'5-EC_CAC'!F5)</f>
        <v/>
      </c>
      <c r="I50">
        <f>IF('5-EC_CAC'!G5="","",'5-EC_CAC'!G5)</f>
        <v>56</v>
      </c>
      <c r="J50">
        <v>5</v>
      </c>
      <c r="K50" t="str">
        <f>IF('5-EC_CAC'!I5="","",'5-EC_CAC'!I5)</f>
        <v>Indemnités Journalières</v>
      </c>
      <c r="L50">
        <f>IF('5-EC_CAC'!J5="","",'5-EC_CAC'!J5)</f>
        <v>18547</v>
      </c>
      <c r="M50">
        <f>IF('5-EC_CAC'!K5="","",'5-EC_CAC'!K5)</f>
        <v>3.0000000000000001E-3</v>
      </c>
      <c r="N50">
        <f>IF('5-EC_CAC'!L5="","",'5-EC_CAC'!L5)</f>
        <v>56</v>
      </c>
      <c r="O50" t="str">
        <f>IF('5-EC_CAC'!M5="","",'5-EC_CAC'!M5)</f>
        <v/>
      </c>
      <c r="P50" t="str">
        <f>IF('5-EC_CAC'!N5="","",'5-EC_CAC'!N5)</f>
        <v/>
      </c>
      <c r="Q50">
        <f>IF('5-EC_CAC'!O5="","",'5-EC_CAC'!O5)</f>
        <v>56</v>
      </c>
    </row>
    <row r="51" spans="1:18" ht="15">
      <c r="A51">
        <v>6</v>
      </c>
      <c r="B51" t="s">
        <v>111</v>
      </c>
      <c r="C51" t="str">
        <f>IF('6-MédS1'!A5="","",'6-MédS1'!A5)</f>
        <v>Indemnités Journalières</v>
      </c>
      <c r="D51">
        <f>IF('6-MédS1'!B5="","",'6-MédS1'!B5)</f>
        <v>18547</v>
      </c>
      <c r="E51">
        <f>IF('6-MédS1'!C5="","",'6-MédS1'!C5)</f>
        <v>3.0000000000000001E-3</v>
      </c>
      <c r="F51">
        <f>IF('6-MédS1'!D5="","",'6-MédS1'!D5)</f>
        <v>56</v>
      </c>
      <c r="G51" t="str">
        <f>IF('6-MédS1'!E5="","",'6-MédS1'!E5)</f>
        <v/>
      </c>
      <c r="H51" t="str">
        <f>IF('6-MédS1'!F5="","",'6-MédS1'!F5)</f>
        <v/>
      </c>
      <c r="I51">
        <f>IF('6-MédS1'!G5="","",'6-MédS1'!G5)</f>
        <v>56</v>
      </c>
      <c r="J51">
        <v>6</v>
      </c>
      <c r="K51" t="str">
        <f>IF('6-MédS1'!I5="","",'6-MédS1'!I5)</f>
        <v>Indemnités Journalières</v>
      </c>
      <c r="L51">
        <f>IF('6-MédS1'!J5="","",'6-MédS1'!J5)</f>
        <v>18547</v>
      </c>
      <c r="M51">
        <f>IF('6-MédS1'!K5="","",'6-MédS1'!K5)</f>
        <v>3.0000000000000001E-3</v>
      </c>
      <c r="N51">
        <f>IF('6-MédS1'!L5="","",'6-MédS1'!L5)</f>
        <v>56</v>
      </c>
      <c r="O51" t="str">
        <f>IF('6-MédS1'!M5="","",'6-MédS1'!M5)</f>
        <v/>
      </c>
      <c r="P51" t="str">
        <f>IF('6-MédS1'!N5="","",'6-MédS1'!N5)</f>
        <v/>
      </c>
      <c r="Q51">
        <f>IF('6-MédS1'!O5="","",'6-MédS1'!O5)</f>
        <v>56</v>
      </c>
    </row>
    <row r="52" spans="1:18" ht="15">
      <c r="A52">
        <v>7</v>
      </c>
      <c r="B52" t="s">
        <v>112</v>
      </c>
      <c r="C52" t="str">
        <f>IF('7-MédS2'!A5="","",'7-MédS2'!A5)</f>
        <v>Indemnités Journalières</v>
      </c>
      <c r="D52">
        <f>IF('7-MédS2'!B5="","",'7-MédS2'!B5)</f>
        <v>18547</v>
      </c>
      <c r="E52">
        <f>IF('7-MédS2'!C5="","",'7-MédS2'!C5)</f>
        <v>3.0000000000000001E-3</v>
      </c>
      <c r="F52">
        <f>IF('7-MédS2'!D5="","",'7-MédS2'!D5)</f>
        <v>56</v>
      </c>
      <c r="G52" t="str">
        <f>IF('7-MédS2'!E5="","",'7-MédS2'!E5)</f>
        <v/>
      </c>
      <c r="H52" t="str">
        <f>IF('7-MédS2'!F5="","",'7-MédS2'!F5)</f>
        <v/>
      </c>
      <c r="I52">
        <f>IF('7-MédS2'!G5="","",'7-MédS2'!G5)</f>
        <v>56</v>
      </c>
      <c r="J52">
        <v>7</v>
      </c>
      <c r="K52" t="str">
        <f>IF('7-MédS2'!I5="","",'7-MédS2'!I5)</f>
        <v>Indemnités Journalières</v>
      </c>
      <c r="L52">
        <f>IF('7-MédS2'!J5="","",'7-MédS2'!J5)</f>
        <v>18547</v>
      </c>
      <c r="M52">
        <f>IF('7-MédS2'!K5="","",'7-MédS2'!K5)</f>
        <v>3.0000000000000001E-3</v>
      </c>
      <c r="N52">
        <f>IF('7-MédS2'!L5="","",'7-MédS2'!L5)</f>
        <v>56</v>
      </c>
      <c r="O52" t="str">
        <f>IF('7-MédS2'!M5="","",'7-MédS2'!M5)</f>
        <v/>
      </c>
      <c r="P52" t="str">
        <f>IF('7-MédS2'!N5="","",'7-MédS2'!N5)</f>
        <v/>
      </c>
      <c r="Q52">
        <f>IF('7-MédS2'!O5="","",'7-MédS2'!O5)</f>
        <v>56</v>
      </c>
    </row>
    <row r="53" spans="1:18" ht="15">
      <c r="A53">
        <v>8</v>
      </c>
      <c r="B53" t="s">
        <v>113</v>
      </c>
      <c r="C53" t="str">
        <f>IF('8-PAM'!A5="","",'8-PAM'!A5)</f>
        <v>Indemnités Journalières</v>
      </c>
      <c r="D53">
        <f>IF('8-PAM'!B5="","",'8-PAM'!B5)</f>
        <v>18547</v>
      </c>
      <c r="E53">
        <f>IF('8-PAM'!C5="","",'8-PAM'!C5)</f>
        <v>3.0000000000000001E-3</v>
      </c>
      <c r="F53">
        <f>IF('8-PAM'!D5="","",'8-PAM'!D5)</f>
        <v>56</v>
      </c>
      <c r="G53" t="str">
        <f>IF('8-PAM'!E5="","",'8-PAM'!E5)</f>
        <v/>
      </c>
      <c r="H53" t="str">
        <f>IF('8-PAM'!F5="","",'8-PAM'!F5)</f>
        <v/>
      </c>
      <c r="I53">
        <f>IF('8-PAM'!G5="","",'8-PAM'!G5)</f>
        <v>56</v>
      </c>
      <c r="J53">
        <v>8</v>
      </c>
      <c r="K53" t="str">
        <f>IF('8-PAM'!I5="","",'8-PAM'!I5)</f>
        <v>Indemnités Journalières</v>
      </c>
      <c r="L53">
        <f>IF('8-PAM'!J5="","",'8-PAM'!J5)</f>
        <v>18547</v>
      </c>
      <c r="M53">
        <f>IF('8-PAM'!K5="","",'8-PAM'!K5)</f>
        <v>3.0000000000000001E-3</v>
      </c>
      <c r="N53">
        <f>IF('8-PAM'!L5="","",'8-PAM'!L5)</f>
        <v>56</v>
      </c>
      <c r="O53" t="str">
        <f>IF('8-PAM'!M5="","",'8-PAM'!M5)</f>
        <v/>
      </c>
      <c r="P53" t="str">
        <f>IF('8-PAM'!N5="","",'8-PAM'!N5)</f>
        <v/>
      </c>
      <c r="Q53">
        <f>IF('8-PAM'!O5="","",'8-PAM'!O5)</f>
        <v>56</v>
      </c>
    </row>
    <row r="54" spans="1:18" ht="15">
      <c r="A54">
        <v>9</v>
      </c>
      <c r="B54" t="s">
        <v>114</v>
      </c>
      <c r="C54" t="str">
        <f>IF('9-CIPAV'!A5="","",'9-CIPAV'!A5)</f>
        <v>Indemnités Journalières</v>
      </c>
      <c r="D54">
        <f>IF('9-CIPAV'!B5="","",'9-CIPAV'!B5)</f>
        <v>18547</v>
      </c>
      <c r="E54">
        <f>IF('9-CIPAV'!C5="","",'9-CIPAV'!C5)</f>
        <v>3.0000000000000001E-3</v>
      </c>
      <c r="F54">
        <f>IF('9-CIPAV'!D5="","",'9-CIPAV'!D5)</f>
        <v>56</v>
      </c>
      <c r="G54" t="str">
        <f>IF('9-CIPAV'!E5="","",'9-CIPAV'!E5)</f>
        <v/>
      </c>
      <c r="H54" t="str">
        <f>IF('9-CIPAV'!F5="","",'9-CIPAV'!F5)</f>
        <v/>
      </c>
      <c r="I54">
        <f>IF('9-CIPAV'!G5="","",'9-CIPAV'!G5)</f>
        <v>56</v>
      </c>
      <c r="J54">
        <v>9</v>
      </c>
      <c r="K54" t="str">
        <f>IF('9-CIPAV'!I5="","",'9-CIPAV'!I5)</f>
        <v>Indemnités Journalières</v>
      </c>
      <c r="L54">
        <f>IF('9-CIPAV'!J5="","",'9-CIPAV'!J5)</f>
        <v>18547</v>
      </c>
      <c r="M54">
        <f>IF('9-CIPAV'!K5="","",'9-CIPAV'!K5)</f>
        <v>3.0000000000000001E-3</v>
      </c>
      <c r="N54">
        <f>IF('9-CIPAV'!L5="","",'9-CIPAV'!L5)</f>
        <v>56</v>
      </c>
      <c r="O54" t="str">
        <f>IF('9-CIPAV'!M5="","",'9-CIPAV'!M5)</f>
        <v/>
      </c>
      <c r="P54" t="str">
        <f>IF('9-CIPAV'!N5="","",'9-CIPAV'!N5)</f>
        <v/>
      </c>
      <c r="Q54">
        <f>IF('9-CIPAV'!O5="","",'9-CIPAV'!O5)</f>
        <v>56</v>
      </c>
    </row>
    <row r="55" spans="1:18" ht="15">
      <c r="A55">
        <v>10</v>
      </c>
      <c r="B55" t="s">
        <v>115</v>
      </c>
      <c r="C55" t="str">
        <f>IF('10-BNC-SSI'!A5="","",'10-BNC-SSI'!A5)</f>
        <v>Maladie - Tranche 2</v>
      </c>
      <c r="D55">
        <f>IF('10-BNC-SSI'!B5="","",'10-BNC-SSI'!B5)</f>
        <v>0</v>
      </c>
      <c r="E55">
        <f>IF('10-BNC-SSI'!C5="","",'10-BNC-SSI'!C5)</f>
        <v>6.5000000000000002E-2</v>
      </c>
      <c r="F55">
        <f>IF('10-BNC-SSI'!D5="","",'10-BNC-SSI'!D5)</f>
        <v>0</v>
      </c>
      <c r="G55" t="str">
        <f>IF('10-BNC-SSI'!E5="","",'10-BNC-SSI'!E5)</f>
        <v/>
      </c>
      <c r="H55" t="str">
        <f>IF('10-BNC-SSI'!F5="","",'10-BNC-SSI'!F5)</f>
        <v/>
      </c>
      <c r="I55">
        <f>IF('10-BNC-SSI'!G5="","",'10-BNC-SSI'!G5)</f>
        <v>0</v>
      </c>
      <c r="J55">
        <v>10</v>
      </c>
      <c r="K55" t="str">
        <f>IF('10-BNC-SSI'!I5="","",'10-BNC-SSI'!I5)</f>
        <v>Maladie - Tranche 2</v>
      </c>
      <c r="L55">
        <f>IF('10-BNC-SSI'!J5="","",'10-BNC-SSI'!J5)</f>
        <v>0</v>
      </c>
      <c r="M55">
        <f>IF('10-BNC-SSI'!K5="","",'10-BNC-SSI'!K5)</f>
        <v>6.5000000000000002E-2</v>
      </c>
      <c r="N55">
        <f>IF('10-BNC-SSI'!L5="","",'10-BNC-SSI'!L5)</f>
        <v>0</v>
      </c>
      <c r="O55" t="str">
        <f>IF('10-BNC-SSI'!M5="","",'10-BNC-SSI'!M5)</f>
        <v/>
      </c>
      <c r="P55" t="str">
        <f>IF('10-BNC-SSI'!N5="","",'10-BNC-SSI'!N5)</f>
        <v/>
      </c>
      <c r="Q55">
        <f>IF('10-BNC-SSI'!O5="","",'10-BNC-SSI'!O5)</f>
        <v>0</v>
      </c>
    </row>
    <row r="56" spans="1:18" ht="15">
      <c r="A56">
        <v>11</v>
      </c>
      <c r="B56" t="s">
        <v>116</v>
      </c>
      <c r="C56" t="str">
        <f>IF('11-SF'!A5="","",'11-SF'!A5)</f>
        <v>Indemnités Journalières</v>
      </c>
      <c r="D56">
        <f>IF('11-SF'!B5="","",'11-SF'!B5)</f>
        <v>18547</v>
      </c>
      <c r="E56">
        <f>IF('11-SF'!C5="","",'11-SF'!C5)</f>
        <v>3.0000000000000001E-3</v>
      </c>
      <c r="F56">
        <f>IF('11-SF'!D5="","",'11-SF'!D5)</f>
        <v>56</v>
      </c>
      <c r="G56" t="str">
        <f>IF('11-SF'!E5="","",'11-SF'!E5)</f>
        <v/>
      </c>
      <c r="H56" t="str">
        <f>IF('11-SF'!F5="","",'11-SF'!F5)</f>
        <v/>
      </c>
      <c r="I56">
        <f>IF('11-SF'!G5="","",'11-SF'!G5)</f>
        <v>56</v>
      </c>
      <c r="J56">
        <v>11</v>
      </c>
      <c r="K56" t="str">
        <f>IF('11-SF'!I5="","",'11-SF'!I5)</f>
        <v>Indemnités Journalières</v>
      </c>
      <c r="L56">
        <f>IF('11-SF'!J5="","",'11-SF'!J5)</f>
        <v>18547</v>
      </c>
      <c r="M56">
        <f>IF('11-SF'!K5="","",'11-SF'!K5)</f>
        <v>3.0000000000000001E-3</v>
      </c>
      <c r="N56">
        <f>IF('11-SF'!L5="","",'11-SF'!L5)</f>
        <v>56</v>
      </c>
      <c r="O56" t="str">
        <f>IF('11-SF'!M5="","",'11-SF'!M5)</f>
        <v/>
      </c>
      <c r="P56" t="str">
        <f>IF('11-SF'!N5="","",'11-SF'!N5)</f>
        <v/>
      </c>
      <c r="Q56">
        <f>IF('11-SF'!O5="","",'11-SF'!O5)</f>
        <v>56</v>
      </c>
    </row>
    <row r="57" spans="1:18" ht="15">
      <c r="A57">
        <v>12</v>
      </c>
      <c r="B57" t="s">
        <v>117</v>
      </c>
      <c r="C57" t="str">
        <f>IF('12-VETO'!A5="","",'12-VETO'!A5)</f>
        <v>Indemnités Journalières</v>
      </c>
      <c r="D57">
        <f>IF('12-VETO'!B5="","",'12-VETO'!B5)</f>
        <v>18547</v>
      </c>
      <c r="E57">
        <f>IF('12-VETO'!C5="","",'12-VETO'!C5)</f>
        <v>3.0000000000000001E-3</v>
      </c>
      <c r="F57">
        <f>IF('12-VETO'!D5="","",'12-VETO'!D5)</f>
        <v>56</v>
      </c>
      <c r="G57" t="str">
        <f>IF('12-VETO'!E5="","",'12-VETO'!E5)</f>
        <v/>
      </c>
      <c r="H57" t="str">
        <f>IF('12-VETO'!F5="","",'12-VETO'!F5)</f>
        <v/>
      </c>
      <c r="I57">
        <f>IF('12-VETO'!G5="","",'12-VETO'!G5)</f>
        <v>56</v>
      </c>
      <c r="J57">
        <v>12</v>
      </c>
      <c r="K57" t="str">
        <f>IF('12-VETO'!I5="","",'12-VETO'!I5)</f>
        <v>Indemnités Journalières</v>
      </c>
      <c r="L57">
        <f>IF('12-VETO'!J5="","",'12-VETO'!J5)</f>
        <v>18547</v>
      </c>
      <c r="M57">
        <f>IF('12-VETO'!K5="","",'12-VETO'!K5)</f>
        <v>3.0000000000000001E-3</v>
      </c>
      <c r="N57">
        <f>IF('12-VETO'!L5="","",'12-VETO'!L5)</f>
        <v>56</v>
      </c>
      <c r="O57" t="str">
        <f>IF('12-VETO'!M5="","",'12-VETO'!M5)</f>
        <v/>
      </c>
      <c r="P57" t="str">
        <f>IF('12-VETO'!N5="","",'12-VETO'!N5)</f>
        <v/>
      </c>
      <c r="Q57">
        <f>IF('12-VETO'!O5="","",'12-VETO'!O5)</f>
        <v>56</v>
      </c>
    </row>
    <row r="58" spans="1:18" ht="15">
      <c r="A58">
        <v>13</v>
      </c>
      <c r="B58" t="s">
        <v>168</v>
      </c>
      <c r="C58" t="str">
        <f>IF('13-AGENT D''ASS'!A5="","",'13-AGENT D''ASS'!A5)</f>
        <v>Indemnités Journalières</v>
      </c>
      <c r="D58">
        <f>IF('13-AGENT D''ASS'!B5="","",'13-AGENT D''ASS'!B5)</f>
        <v>18547</v>
      </c>
      <c r="E58">
        <f>IF('13-AGENT D''ASS'!C5="","",'13-AGENT D''ASS'!C5)</f>
        <v>3.0000000000000001E-3</v>
      </c>
      <c r="F58">
        <f>IF('13-AGENT D''ASS'!D5="","",'13-AGENT D''ASS'!D5)</f>
        <v>56</v>
      </c>
      <c r="G58" t="str">
        <f>IF('13-AGENT D''ASS'!E5="","",'13-AGENT D''ASS'!E5)</f>
        <v/>
      </c>
      <c r="H58" t="str">
        <f>IF('13-AGENT D''ASS'!F5="","",'13-AGENT D''ASS'!F5)</f>
        <v/>
      </c>
      <c r="I58">
        <f>IF('13-AGENT D''ASS'!G5="","",'13-AGENT D''ASS'!G5)</f>
        <v>56</v>
      </c>
      <c r="J58">
        <v>13</v>
      </c>
      <c r="K58" t="str">
        <f>IF('13-AGENT D''ASS'!I5="","",'13-AGENT D''ASS'!I5)</f>
        <v>Indemnités Journalières</v>
      </c>
      <c r="L58">
        <f>IF('13-AGENT D''ASS'!J5="","",'13-AGENT D''ASS'!J5)</f>
        <v>18547</v>
      </c>
      <c r="M58">
        <f>IF('13-AGENT D''ASS'!K5="","",'13-AGENT D''ASS'!K5)</f>
        <v>3.0000000000000001E-3</v>
      </c>
      <c r="N58">
        <f>IF('13-AGENT D''ASS'!L5="","",'13-AGENT D''ASS'!L5)</f>
        <v>56</v>
      </c>
      <c r="O58" t="str">
        <f>IF('13-AGENT D''ASS'!M5="","",'13-AGENT D''ASS'!M5)</f>
        <v/>
      </c>
      <c r="P58" t="str">
        <f>IF('13-AGENT D''ASS'!N5="","",'13-AGENT D''ASS'!N5)</f>
        <v/>
      </c>
      <c r="Q58">
        <f>IF('13-AGENT D''ASS'!O5="","",'13-AGENT D''ASS'!O5)</f>
        <v>56</v>
      </c>
    </row>
    <row r="59" spans="1:18" ht="15">
      <c r="A59">
        <v>14</v>
      </c>
      <c r="B59" t="s">
        <v>169</v>
      </c>
      <c r="C59" t="str">
        <f>IF('14-Avocats'!A5="","",'14-Avocats'!A5)</f>
        <v>Indemnités Journalières</v>
      </c>
      <c r="D59">
        <f>IF('14-Avocats'!B5="","",'14-Avocats'!B5)</f>
        <v>18547</v>
      </c>
      <c r="E59">
        <f>IF('14-Avocats'!C5="","",'14-Avocats'!C5)</f>
        <v>3.0000000000000001E-3</v>
      </c>
      <c r="F59">
        <f>IF('14-Avocats'!D5="","",'14-Avocats'!D5)</f>
        <v>56</v>
      </c>
      <c r="G59" t="str">
        <f>IF('14-Avocats'!E5="","",'14-Avocats'!E5)</f>
        <v/>
      </c>
      <c r="H59" t="str">
        <f>IF('14-Avocats'!F5="","",'14-Avocats'!F5)</f>
        <v/>
      </c>
      <c r="I59">
        <f>IF('14-Avocats'!G5="","",'14-Avocats'!G5)</f>
        <v>56</v>
      </c>
      <c r="J59">
        <v>14</v>
      </c>
      <c r="K59" t="str">
        <f>IF('14-Avocats'!I5="","",'14-Avocats'!I5)</f>
        <v>Indemnités Journalières</v>
      </c>
      <c r="L59">
        <f>IF('14-Avocats'!J5="","",'14-Avocats'!J5)</f>
        <v>18547</v>
      </c>
      <c r="M59">
        <f>IF('14-Avocats'!K5="","",'14-Avocats'!K5)</f>
        <v>3.0000000000000001E-3</v>
      </c>
      <c r="N59">
        <f>IF('14-Avocats'!L5="","",'14-Avocats'!L5)</f>
        <v>56</v>
      </c>
      <c r="O59" t="str">
        <f>IF('14-Avocats'!M5="","",'14-Avocats'!M5)</f>
        <v/>
      </c>
      <c r="P59" t="str">
        <f>IF('14-Avocats'!N5="","",'14-Avocats'!N5)</f>
        <v/>
      </c>
      <c r="Q59">
        <f>IF('14-Avocats'!O5="","",'14-Avocats'!O5)</f>
        <v>56</v>
      </c>
    </row>
    <row r="60" spans="1:18" ht="15">
      <c r="A60">
        <v>15</v>
      </c>
      <c r="B60" t="s">
        <v>203</v>
      </c>
      <c r="C60" t="str">
        <f>IF('15-PODO'!A5="","",'15-PODO'!A5)</f>
        <v>Indemnités Journalières</v>
      </c>
      <c r="D60">
        <f>IF('15-PODO'!B5="","",'15-PODO'!B5)</f>
        <v>18547</v>
      </c>
      <c r="E60">
        <f>IF('15-PODO'!C5="","",'15-PODO'!C5)</f>
        <v>3.0000000000000001E-3</v>
      </c>
      <c r="F60">
        <f>IF('15-PODO'!D5="","",'15-PODO'!D5)</f>
        <v>56</v>
      </c>
      <c r="G60" t="str">
        <f>IF('15-PODO'!E5="","",'15-PODO'!E5)</f>
        <v/>
      </c>
      <c r="H60" t="str">
        <f>IF('15-PODO'!F5="","",'15-PODO'!F5)</f>
        <v/>
      </c>
      <c r="I60">
        <f>IF('15-PODO'!G5="","",'15-PODO'!G5)</f>
        <v>56</v>
      </c>
      <c r="J60">
        <v>15</v>
      </c>
      <c r="K60" t="str">
        <f>IF('15-PODO'!I5="","",'15-PODO'!I5)</f>
        <v>Indemnités Journalières</v>
      </c>
      <c r="L60">
        <f>IF('15-PODO'!J5="","",'15-PODO'!J5)</f>
        <v>18547</v>
      </c>
      <c r="M60">
        <f>IF('15-PODO'!K5="","",'15-PODO'!K5)</f>
        <v>3.0000000000000001E-3</v>
      </c>
      <c r="N60">
        <f>IF('15-PODO'!L5="","",'15-PODO'!L5)</f>
        <v>56</v>
      </c>
      <c r="O60" t="str">
        <f>IF('15-PODO'!M5="","",'15-PODO'!M5)</f>
        <v/>
      </c>
      <c r="P60" t="str">
        <f>IF('15-PODO'!N5="","",'15-PODO'!N5)</f>
        <v/>
      </c>
      <c r="Q60">
        <f>IF('15-PODO'!O5="","",'15-PODO'!O5)</f>
        <v>56</v>
      </c>
    </row>
    <row r="61" spans="1:18">
      <c r="B61" s="18" t="s">
        <v>136</v>
      </c>
      <c r="C61" s="18" t="e">
        <f>VLOOKUP($A$45,$A$46:$I$60,3,FALSE)</f>
        <v>#N/A</v>
      </c>
      <c r="D61" s="64" t="e">
        <f>VLOOKUP($A$27,$A$46:$I$60,4,FALSE)</f>
        <v>#N/A</v>
      </c>
      <c r="E61" s="46" t="e">
        <f>VLOOKUP($A$27,$A$46:$I$60,5,FALSE)</f>
        <v>#N/A</v>
      </c>
      <c r="F61" s="65" t="e">
        <f>VLOOKUP($A$27,$A$46:$I$60,6,FALSE)</f>
        <v>#N/A</v>
      </c>
      <c r="G61" s="46" t="e">
        <f>VLOOKUP($A$27,$A$46:$I$60,7,FALSE)</f>
        <v>#N/A</v>
      </c>
      <c r="H61" s="65" t="e">
        <f>VLOOKUP($A$27,$A$46:$I$60,8,FALSE)</f>
        <v>#N/A</v>
      </c>
      <c r="I61" s="65" t="e">
        <f>VLOOKUP($A$27,$A$46:$I$60,9,FALSE)</f>
        <v>#N/A</v>
      </c>
      <c r="J61" s="66" t="e">
        <f>IF(LEFT(C61,5)="TOTAL",1,0)</f>
        <v>#N/A</v>
      </c>
      <c r="K61" s="18" t="e">
        <f>VLOOKUP($A$27,$J$46:$Q$60,2,FALSE)</f>
        <v>#N/A</v>
      </c>
      <c r="L61" s="18" t="e">
        <f>VLOOKUP($A$27,$J$46:$Q$60,3,FALSE)</f>
        <v>#N/A</v>
      </c>
      <c r="M61" s="18" t="e">
        <f>VLOOKUP($A$27,$J$46:$Q$60,4,FALSE)</f>
        <v>#N/A</v>
      </c>
      <c r="N61" s="18" t="e">
        <f>VLOOKUP($A$27,$J$46:$Q$60,5,FALSE)</f>
        <v>#N/A</v>
      </c>
      <c r="O61" s="18" t="e">
        <f>VLOOKUP($A$27,$J$46:$Q$60,6,FALSE)</f>
        <v>#N/A</v>
      </c>
      <c r="P61" s="18" t="e">
        <f>VLOOKUP($A$27,$J$46:$Q$60,7,FALSE)</f>
        <v>#N/A</v>
      </c>
      <c r="Q61" s="18" t="e">
        <f>VLOOKUP($A$27,$J$46:$Q$60,8,FALSE)</f>
        <v>#N/A</v>
      </c>
      <c r="R61" s="66" t="e">
        <f>IF(LEFT(K61,5)="TOTAL",1,0)</f>
        <v>#N/A</v>
      </c>
    </row>
    <row r="63" spans="1:18">
      <c r="A63">
        <f>CAS</f>
        <v>0</v>
      </c>
      <c r="B63" t="s">
        <v>137</v>
      </c>
      <c r="D63" s="8" t="s">
        <v>19</v>
      </c>
      <c r="E63" s="8" t="s">
        <v>60</v>
      </c>
      <c r="F63" s="8" t="s">
        <v>61</v>
      </c>
      <c r="G63" s="8" t="s">
        <v>66</v>
      </c>
      <c r="H63" s="8" t="s">
        <v>64</v>
      </c>
      <c r="I63" s="8" t="s">
        <v>65</v>
      </c>
    </row>
    <row r="64" spans="1:18" ht="15">
      <c r="A64">
        <v>1</v>
      </c>
      <c r="B64" t="s">
        <v>106</v>
      </c>
      <c r="C64" t="str">
        <f>IF('1-ARTISAN'!A6="","",'1-ARTISAN'!A6)</f>
        <v>Indemnités Journalières</v>
      </c>
      <c r="D64">
        <f>IF('1-ARTISAN'!B6="","",'1-ARTISAN'!B6)</f>
        <v>18547</v>
      </c>
      <c r="E64">
        <f>IF('1-ARTISAN'!C6="","",'1-ARTISAN'!C6)</f>
        <v>5.0000000000000001E-3</v>
      </c>
      <c r="F64">
        <f>IF('1-ARTISAN'!D6="","",'1-ARTISAN'!D6)</f>
        <v>93</v>
      </c>
      <c r="G64" t="str">
        <f>IF('1-ARTISAN'!E6="","",'1-ARTISAN'!E6)</f>
        <v/>
      </c>
      <c r="H64" t="str">
        <f>IF('1-ARTISAN'!F6="","",'1-ARTISAN'!F6)</f>
        <v/>
      </c>
      <c r="I64">
        <f>IF('1-ARTISAN'!G6="","",'1-ARTISAN'!G6)</f>
        <v>93</v>
      </c>
      <c r="J64">
        <v>1</v>
      </c>
      <c r="K64" t="str">
        <f>IF('1-ARTISAN'!I6="","",'1-ARTISAN'!I6)</f>
        <v>Indemnités Journalières</v>
      </c>
      <c r="L64">
        <f>IF('1-ARTISAN'!J6="","",'1-ARTISAN'!J6)</f>
        <v>18547</v>
      </c>
      <c r="M64">
        <f>IF('1-ARTISAN'!K6="","",'1-ARTISAN'!K6)</f>
        <v>5.0000000000000001E-3</v>
      </c>
      <c r="N64">
        <f>IF('1-ARTISAN'!L6="","",'1-ARTISAN'!L6)</f>
        <v>93</v>
      </c>
      <c r="O64" t="str">
        <f>IF('1-ARTISAN'!M6="","",'1-ARTISAN'!M6)</f>
        <v/>
      </c>
      <c r="P64" t="str">
        <f>IF('1-ARTISAN'!N6="","",'1-ARTISAN'!N6)</f>
        <v/>
      </c>
      <c r="Q64">
        <f>IF('1-ARTISAN'!O6="","",'1-ARTISAN'!O6)</f>
        <v>93</v>
      </c>
    </row>
    <row r="65" spans="1:18" ht="15">
      <c r="A65">
        <v>2</v>
      </c>
      <c r="B65" t="s">
        <v>107</v>
      </c>
      <c r="C65" t="str">
        <f>IF('2-ARTISTES'!A6="","",'2-ARTISTES'!A6)</f>
        <v>CFP</v>
      </c>
      <c r="D65">
        <f>IF('2-ARTISTES'!B6="","",'2-ARTISTES'!B6)</f>
        <v>0</v>
      </c>
      <c r="E65">
        <f>IF('2-ARTISTES'!C6="","",'2-ARTISTES'!C6)</f>
        <v>3.5000000000000001E-3</v>
      </c>
      <c r="F65">
        <f>IF('2-ARTISTES'!D6="","",'2-ARTISTES'!D6)</f>
        <v>0</v>
      </c>
      <c r="G65" t="str">
        <f>IF('2-ARTISTES'!E6="","",'2-ARTISTES'!E6)</f>
        <v/>
      </c>
      <c r="H65" t="str">
        <f>IF('2-ARTISTES'!F6="","",'2-ARTISTES'!F6)</f>
        <v/>
      </c>
      <c r="I65">
        <f>IF('2-ARTISTES'!G6="","",'2-ARTISTES'!G6)</f>
        <v>0</v>
      </c>
      <c r="J65">
        <v>2</v>
      </c>
      <c r="K65" t="str">
        <f>IF('2-ARTISTES'!I6="","",'2-ARTISTES'!I6)</f>
        <v>CFP</v>
      </c>
      <c r="L65">
        <f>IF('2-ARTISTES'!J6="","",'2-ARTISTES'!J6)</f>
        <v>0</v>
      </c>
      <c r="M65">
        <f>IF('2-ARTISTES'!K6="","",'2-ARTISTES'!K6)</f>
        <v>3.5000000000000001E-3</v>
      </c>
      <c r="N65">
        <f>IF('2-ARTISTES'!L6="","",'2-ARTISTES'!L6)</f>
        <v>0</v>
      </c>
      <c r="O65" t="str">
        <f>IF('2-ARTISTES'!M6="","",'2-ARTISTES'!M6)</f>
        <v/>
      </c>
      <c r="P65" t="str">
        <f>IF('2-ARTISTES'!N6="","",'2-ARTISTES'!N6)</f>
        <v/>
      </c>
      <c r="Q65">
        <f>IF('2-ARTISTES'!O6="","",'2-ARTISTES'!O6)</f>
        <v>0</v>
      </c>
    </row>
    <row r="66" spans="1:18" ht="15">
      <c r="A66">
        <v>3</v>
      </c>
      <c r="B66" t="s">
        <v>108</v>
      </c>
      <c r="C66" t="str">
        <f>IF('3-Chir_dent'!A6="","",'3-Chir_dent'!A6)</f>
        <v>Contribution additionnelle maladie</v>
      </c>
      <c r="D66">
        <f>IF('3-Chir_dent'!B6="","",'3-Chir_dent'!B6)</f>
        <v>0</v>
      </c>
      <c r="E66">
        <f>IF('3-Chir_dent'!C6="","",'3-Chir_dent'!C6)</f>
        <v>3.2500000000000001E-2</v>
      </c>
      <c r="F66">
        <f>IF('3-Chir_dent'!D6="","",'3-Chir_dent'!D6)</f>
        <v>0</v>
      </c>
      <c r="G66" t="str">
        <f>IF('3-Chir_dent'!E6="","",'3-Chir_dent'!E6)</f>
        <v/>
      </c>
      <c r="H66" t="str">
        <f>IF('3-Chir_dent'!F6="","",'3-Chir_dent'!F6)</f>
        <v/>
      </c>
      <c r="I66">
        <f>IF('3-Chir_dent'!G6="","",'3-Chir_dent'!G6)</f>
        <v>0</v>
      </c>
      <c r="J66">
        <v>3</v>
      </c>
      <c r="K66" t="str">
        <f>IF('3-Chir_dent'!I6="","",'3-Chir_dent'!I6)</f>
        <v>Contribution additionnelle maladie</v>
      </c>
      <c r="L66">
        <f>IF('3-Chir_dent'!J6="","",'3-Chir_dent'!J6)</f>
        <v>0</v>
      </c>
      <c r="M66">
        <f>IF('3-Chir_dent'!K6="","",'3-Chir_dent'!K6)</f>
        <v>3.2500000000000001E-2</v>
      </c>
      <c r="N66">
        <f>IF('3-Chir_dent'!L6="","",'3-Chir_dent'!L6)</f>
        <v>0</v>
      </c>
      <c r="O66" t="str">
        <f>IF('3-Chir_dent'!M6="","",'3-Chir_dent'!M6)</f>
        <v/>
      </c>
      <c r="P66" t="str">
        <f>IF('3-Chir_dent'!N6="","",'3-Chir_dent'!N6)</f>
        <v/>
      </c>
      <c r="Q66">
        <f>IF('3-Chir_dent'!O6="","",'3-Chir_dent'!O6)</f>
        <v>0</v>
      </c>
    </row>
    <row r="67" spans="1:18" ht="15">
      <c r="A67">
        <v>4</v>
      </c>
      <c r="B67" t="s">
        <v>109</v>
      </c>
      <c r="C67" t="str">
        <f>IF('4-COMMERCANT'!A6="","",'4-COMMERCANT'!A6)</f>
        <v>Indemnités Journalières</v>
      </c>
      <c r="D67">
        <f>IF('4-COMMERCANT'!B6="","",'4-COMMERCANT'!B6)</f>
        <v>18547</v>
      </c>
      <c r="E67">
        <f>IF('4-COMMERCANT'!C6="","",'4-COMMERCANT'!C6)</f>
        <v>5.0000000000000001E-3</v>
      </c>
      <c r="F67">
        <f>IF('4-COMMERCANT'!D6="","",'4-COMMERCANT'!D6)</f>
        <v>93</v>
      </c>
      <c r="G67" t="str">
        <f>IF('4-COMMERCANT'!E6="","",'4-COMMERCANT'!E6)</f>
        <v/>
      </c>
      <c r="H67" t="str">
        <f>IF('4-COMMERCANT'!F6="","",'4-COMMERCANT'!F6)</f>
        <v/>
      </c>
      <c r="I67">
        <f>IF('4-COMMERCANT'!G6="","",'4-COMMERCANT'!G6)</f>
        <v>93</v>
      </c>
      <c r="J67">
        <v>4</v>
      </c>
      <c r="K67" t="str">
        <f>IF('4-COMMERCANT'!I6="","",'4-COMMERCANT'!I6)</f>
        <v>Indemnités Journalières</v>
      </c>
      <c r="L67">
        <f>IF('4-COMMERCANT'!J6="","",'4-COMMERCANT'!J6)</f>
        <v>18547</v>
      </c>
      <c r="M67">
        <f>IF('4-COMMERCANT'!K6="","",'4-COMMERCANT'!K6)</f>
        <v>5.0000000000000001E-3</v>
      </c>
      <c r="N67">
        <f>IF('4-COMMERCANT'!L6="","",'4-COMMERCANT'!L6)</f>
        <v>93</v>
      </c>
      <c r="O67" t="str">
        <f>IF('4-COMMERCANT'!M6="","",'4-COMMERCANT'!M6)</f>
        <v/>
      </c>
      <c r="P67" t="str">
        <f>IF('4-COMMERCANT'!N6="","",'4-COMMERCANT'!N6)</f>
        <v/>
      </c>
      <c r="Q67">
        <f>IF('4-COMMERCANT'!O6="","",'4-COMMERCANT'!O6)</f>
        <v>93</v>
      </c>
    </row>
    <row r="68" spans="1:18" ht="15">
      <c r="A68">
        <v>5</v>
      </c>
      <c r="B68" t="s">
        <v>110</v>
      </c>
      <c r="C68" t="str">
        <f>IF('5-EC_CAC'!A6="","",'5-EC_CAC'!A6)</f>
        <v>Allocations Familiales</v>
      </c>
      <c r="D68">
        <f>IF('5-EC_CAC'!B6="","",'5-EC_CAC'!B6)</f>
        <v>0</v>
      </c>
      <c r="E68">
        <f>IF('5-EC_CAC'!C6="","",'5-EC_CAC'!C6)</f>
        <v>0</v>
      </c>
      <c r="F68">
        <f>IF('5-EC_CAC'!D6="","",'5-EC_CAC'!D6)</f>
        <v>0</v>
      </c>
      <c r="G68" t="str">
        <f>IF('5-EC_CAC'!E6="","",'5-EC_CAC'!E6)</f>
        <v/>
      </c>
      <c r="H68" t="str">
        <f>IF('5-EC_CAC'!F6="","",'5-EC_CAC'!F6)</f>
        <v/>
      </c>
      <c r="I68">
        <f>IF('5-EC_CAC'!G6="","",'5-EC_CAC'!G6)</f>
        <v>0</v>
      </c>
      <c r="J68">
        <v>5</v>
      </c>
      <c r="K68" t="str">
        <f>IF('5-EC_CAC'!I6="","",'5-EC_CAC'!I6)</f>
        <v>Allocations Familiales</v>
      </c>
      <c r="L68">
        <f>IF('5-EC_CAC'!J6="","",'5-EC_CAC'!J6)</f>
        <v>0</v>
      </c>
      <c r="M68">
        <f>IF('5-EC_CAC'!K6="","",'5-EC_CAC'!K6)</f>
        <v>0</v>
      </c>
      <c r="N68">
        <f>IF('5-EC_CAC'!L6="","",'5-EC_CAC'!L6)</f>
        <v>0</v>
      </c>
      <c r="O68" t="str">
        <f>IF('5-EC_CAC'!M6="","",'5-EC_CAC'!M6)</f>
        <v/>
      </c>
      <c r="P68" t="str">
        <f>IF('5-EC_CAC'!N6="","",'5-EC_CAC'!N6)</f>
        <v/>
      </c>
      <c r="Q68">
        <f>IF('5-EC_CAC'!O6="","",'5-EC_CAC'!O6)</f>
        <v>0</v>
      </c>
    </row>
    <row r="69" spans="1:18" ht="15">
      <c r="A69">
        <v>6</v>
      </c>
      <c r="B69" t="s">
        <v>111</v>
      </c>
      <c r="C69" t="str">
        <f>IF('6-MédS1'!A6="","",'6-MédS1'!A6)</f>
        <v>Contribution additionnelle maladie</v>
      </c>
      <c r="D69" t="e">
        <f>IF('6-MédS1'!B6="","",'6-MédS1'!B6)</f>
        <v>#DIV/0!</v>
      </c>
      <c r="E69">
        <f>IF('6-MédS1'!C6="","",'6-MédS1'!C6)</f>
        <v>3.2500000000000001E-2</v>
      </c>
      <c r="F69" t="e">
        <f>IF('6-MédS1'!D6="","",'6-MédS1'!D6)</f>
        <v>#DIV/0!</v>
      </c>
      <c r="G69" t="str">
        <f>IF('6-MédS1'!E6="","",'6-MédS1'!E6)</f>
        <v/>
      </c>
      <c r="H69" t="str">
        <f>IF('6-MédS1'!F6="","",'6-MédS1'!F6)</f>
        <v/>
      </c>
      <c r="I69" t="e">
        <f>IF('6-MédS1'!G6="","",'6-MédS1'!G6)</f>
        <v>#DIV/0!</v>
      </c>
      <c r="J69">
        <v>6</v>
      </c>
      <c r="K69" t="str">
        <f>IF('6-MédS1'!I6="","",'6-MédS1'!I6)</f>
        <v>Contribution additionnelle maladie</v>
      </c>
      <c r="L69">
        <f>IF('6-MédS1'!J6="","",'6-MédS1'!J6)</f>
        <v>0</v>
      </c>
      <c r="M69">
        <f>IF('6-MédS1'!K6="","",'6-MédS1'!K6)</f>
        <v>3.2500000000000001E-2</v>
      </c>
      <c r="N69">
        <f>IF('6-MédS1'!L6="","",'6-MédS1'!L6)</f>
        <v>0</v>
      </c>
      <c r="O69" t="str">
        <f>IF('6-MédS1'!M6="","",'6-MédS1'!M6)</f>
        <v/>
      </c>
      <c r="P69" t="str">
        <f>IF('6-MédS1'!N6="","",'6-MédS1'!N6)</f>
        <v/>
      </c>
      <c r="Q69">
        <f>IF('6-MédS1'!O6="","",'6-MédS1'!O6)</f>
        <v>0</v>
      </c>
    </row>
    <row r="70" spans="1:18" ht="15">
      <c r="A70">
        <v>7</v>
      </c>
      <c r="B70" t="s">
        <v>112</v>
      </c>
      <c r="C70" t="str">
        <f>IF('7-MédS2'!A6="","",'7-MédS2'!A6)</f>
        <v>Contribution additionnelle maladie</v>
      </c>
      <c r="D70">
        <f>IF('7-MédS2'!B6="","",'7-MédS2'!B6)</f>
        <v>0</v>
      </c>
      <c r="E70">
        <f>IF('7-MédS2'!C6="","",'7-MédS2'!C6)</f>
        <v>3.2500000000000001E-2</v>
      </c>
      <c r="F70">
        <f>IF('7-MédS2'!D6="","",'7-MédS2'!D6)</f>
        <v>0</v>
      </c>
      <c r="G70" t="str">
        <f>IF('7-MédS2'!E6="","",'7-MédS2'!E6)</f>
        <v/>
      </c>
      <c r="H70" t="str">
        <f>IF('7-MédS2'!F6="","",'7-MédS2'!F6)</f>
        <v/>
      </c>
      <c r="I70">
        <f>IF('7-MédS2'!G6="","",'7-MédS2'!G6)</f>
        <v>0</v>
      </c>
      <c r="J70">
        <v>7</v>
      </c>
      <c r="K70" t="str">
        <f>IF('7-MédS2'!I6="","",'7-MédS2'!I6)</f>
        <v>Contribution additionnelle maladie</v>
      </c>
      <c r="L70">
        <f>IF('7-MédS2'!J6="","",'7-MédS2'!J6)</f>
        <v>0</v>
      </c>
      <c r="M70">
        <f>IF('7-MédS2'!K6="","",'7-MédS2'!K6)</f>
        <v>3.2500000000000001E-2</v>
      </c>
      <c r="N70">
        <f>IF('7-MédS2'!L6="","",'7-MédS2'!L6)</f>
        <v>0</v>
      </c>
      <c r="O70" t="str">
        <f>IF('7-MédS2'!M6="","",'7-MédS2'!M6)</f>
        <v/>
      </c>
      <c r="P70" t="str">
        <f>IF('7-MédS2'!N6="","",'7-MédS2'!N6)</f>
        <v/>
      </c>
      <c r="Q70">
        <f>IF('7-MédS2'!O6="","",'7-MédS2'!O6)</f>
        <v>0</v>
      </c>
    </row>
    <row r="71" spans="1:18" ht="15">
      <c r="A71">
        <v>8</v>
      </c>
      <c r="B71" t="s">
        <v>113</v>
      </c>
      <c r="C71" t="str">
        <f>IF('8-PAM'!A6="","",'8-PAM'!A6)</f>
        <v>Contribution additionnelle maladie</v>
      </c>
      <c r="D71">
        <f>IF('8-PAM'!B6="","",'8-PAM'!B6)</f>
        <v>0</v>
      </c>
      <c r="E71">
        <f>IF('8-PAM'!C6="","",'8-PAM'!C6)</f>
        <v>3.2500000000000001E-2</v>
      </c>
      <c r="F71">
        <f>IF('8-PAM'!D6="","",'8-PAM'!D6)</f>
        <v>0</v>
      </c>
      <c r="G71" t="str">
        <f>IF('8-PAM'!E6="","",'8-PAM'!E6)</f>
        <v/>
      </c>
      <c r="H71" t="str">
        <f>IF('8-PAM'!F6="","",'8-PAM'!F6)</f>
        <v/>
      </c>
      <c r="I71">
        <f>IF('8-PAM'!G6="","",'8-PAM'!G6)</f>
        <v>0</v>
      </c>
      <c r="J71">
        <v>8</v>
      </c>
      <c r="K71" t="str">
        <f>IF('8-PAM'!I6="","",'8-PAM'!I6)</f>
        <v>Contribution additionnelle maladie</v>
      </c>
      <c r="L71">
        <f>IF('8-PAM'!J6="","",'8-PAM'!J6)</f>
        <v>0</v>
      </c>
      <c r="M71">
        <f>IF('8-PAM'!K6="","",'8-PAM'!K6)</f>
        <v>3.2500000000000001E-2</v>
      </c>
      <c r="N71">
        <f>IF('8-PAM'!L6="","",'8-PAM'!L6)</f>
        <v>0</v>
      </c>
      <c r="O71" t="str">
        <f>IF('8-PAM'!M6="","",'8-PAM'!M6)</f>
        <v/>
      </c>
      <c r="P71" t="str">
        <f>IF('8-PAM'!N6="","",'8-PAM'!N6)</f>
        <v/>
      </c>
      <c r="Q71">
        <f>IF('8-PAM'!O6="","",'8-PAM'!O6)</f>
        <v>0</v>
      </c>
    </row>
    <row r="72" spans="1:18" ht="15">
      <c r="A72">
        <v>9</v>
      </c>
      <c r="B72" t="s">
        <v>114</v>
      </c>
      <c r="C72" t="str">
        <f>IF('9-CIPAV'!A6="","",'9-CIPAV'!A6)</f>
        <v>Allocations Familiales</v>
      </c>
      <c r="D72">
        <f>IF('9-CIPAV'!B6="","",'9-CIPAV'!B6)</f>
        <v>0</v>
      </c>
      <c r="E72">
        <f>IF('9-CIPAV'!C6="","",'9-CIPAV'!C6)</f>
        <v>0</v>
      </c>
      <c r="F72">
        <f>IF('9-CIPAV'!D6="","",'9-CIPAV'!D6)</f>
        <v>0</v>
      </c>
      <c r="G72" t="str">
        <f>IF('9-CIPAV'!E6="","",'9-CIPAV'!E6)</f>
        <v/>
      </c>
      <c r="H72" t="str">
        <f>IF('9-CIPAV'!F6="","",'9-CIPAV'!F6)</f>
        <v/>
      </c>
      <c r="I72">
        <f>IF('9-CIPAV'!G6="","",'9-CIPAV'!G6)</f>
        <v>0</v>
      </c>
      <c r="J72">
        <v>9</v>
      </c>
      <c r="K72" t="str">
        <f>IF('9-CIPAV'!I6="","",'9-CIPAV'!I6)</f>
        <v>Allocations Familiales</v>
      </c>
      <c r="L72">
        <f>IF('9-CIPAV'!J6="","",'9-CIPAV'!J6)</f>
        <v>0</v>
      </c>
      <c r="M72">
        <f>IF('9-CIPAV'!K6="","",'9-CIPAV'!K6)</f>
        <v>0</v>
      </c>
      <c r="N72">
        <f>IF('9-CIPAV'!L6="","",'9-CIPAV'!L6)</f>
        <v>0</v>
      </c>
      <c r="O72" t="str">
        <f>IF('9-CIPAV'!M6="","",'9-CIPAV'!M6)</f>
        <v/>
      </c>
      <c r="P72" t="str">
        <f>IF('9-CIPAV'!N6="","",'9-CIPAV'!N6)</f>
        <v/>
      </c>
      <c r="Q72">
        <f>IF('9-CIPAV'!O6="","",'9-CIPAV'!O6)</f>
        <v>0</v>
      </c>
    </row>
    <row r="73" spans="1:18" ht="15">
      <c r="A73">
        <v>10</v>
      </c>
      <c r="B73" t="s">
        <v>115</v>
      </c>
      <c r="C73" t="str">
        <f>IF('10-BNC-SSI'!A6="","",'10-BNC-SSI'!A6)</f>
        <v>Indemnités Journalières</v>
      </c>
      <c r="D73">
        <f>IF('10-BNC-SSI'!B6="","",'10-BNC-SSI'!B6)</f>
        <v>18547</v>
      </c>
      <c r="E73">
        <f>IF('10-BNC-SSI'!C6="","",'10-BNC-SSI'!C6)</f>
        <v>5.0000000000000001E-3</v>
      </c>
      <c r="F73">
        <f>IF('10-BNC-SSI'!D6="","",'10-BNC-SSI'!D6)</f>
        <v>93</v>
      </c>
      <c r="G73" t="str">
        <f>IF('10-BNC-SSI'!E6="","",'10-BNC-SSI'!E6)</f>
        <v/>
      </c>
      <c r="H73" t="str">
        <f>IF('10-BNC-SSI'!F6="","",'10-BNC-SSI'!F6)</f>
        <v/>
      </c>
      <c r="I73">
        <f>IF('10-BNC-SSI'!G6="","",'10-BNC-SSI'!G6)</f>
        <v>93</v>
      </c>
      <c r="J73">
        <v>10</v>
      </c>
      <c r="K73" t="str">
        <f>IF('10-BNC-SSI'!I6="","",'10-BNC-SSI'!I6)</f>
        <v>Indemnités Journalières</v>
      </c>
      <c r="L73">
        <f>IF('10-BNC-SSI'!J6="","",'10-BNC-SSI'!J6)</f>
        <v>18547</v>
      </c>
      <c r="M73">
        <f>IF('10-BNC-SSI'!K6="","",'10-BNC-SSI'!K6)</f>
        <v>5.0000000000000001E-3</v>
      </c>
      <c r="N73">
        <f>IF('10-BNC-SSI'!L6="","",'10-BNC-SSI'!L6)</f>
        <v>93</v>
      </c>
      <c r="O73" t="str">
        <f>IF('10-BNC-SSI'!M6="","",'10-BNC-SSI'!M6)</f>
        <v/>
      </c>
      <c r="P73" t="str">
        <f>IF('10-BNC-SSI'!N6="","",'10-BNC-SSI'!N6)</f>
        <v/>
      </c>
      <c r="Q73">
        <f>IF('10-BNC-SSI'!O6="","",'10-BNC-SSI'!O6)</f>
        <v>93</v>
      </c>
    </row>
    <row r="74" spans="1:18" ht="15">
      <c r="A74">
        <v>11</v>
      </c>
      <c r="B74" t="s">
        <v>116</v>
      </c>
      <c r="C74" t="str">
        <f>IF('11-SF'!A6="","",'11-SF'!A6)</f>
        <v>Contribution additionnelle maladie</v>
      </c>
      <c r="D74">
        <f>IF('11-SF'!B6="","",'11-SF'!B6)</f>
        <v>0</v>
      </c>
      <c r="E74">
        <f>IF('11-SF'!C6="","",'11-SF'!C6)</f>
        <v>3.2500000000000001E-2</v>
      </c>
      <c r="F74">
        <f>IF('11-SF'!D6="","",'11-SF'!D6)</f>
        <v>0</v>
      </c>
      <c r="G74" t="str">
        <f>IF('11-SF'!E6="","",'11-SF'!E6)</f>
        <v/>
      </c>
      <c r="H74" t="str">
        <f>IF('11-SF'!F6="","",'11-SF'!F6)</f>
        <v/>
      </c>
      <c r="I74">
        <f>IF('11-SF'!G6="","",'11-SF'!G6)</f>
        <v>0</v>
      </c>
      <c r="J74">
        <v>11</v>
      </c>
      <c r="K74" t="str">
        <f>IF('11-SF'!I6="","",'11-SF'!I6)</f>
        <v>Contribution additionnelle maladie</v>
      </c>
      <c r="L74">
        <f>IF('11-SF'!J6="","",'11-SF'!J6)</f>
        <v>0</v>
      </c>
      <c r="M74">
        <f>IF('11-SF'!K6="","",'11-SF'!K6)</f>
        <v>3.2500000000000001E-2</v>
      </c>
      <c r="N74">
        <f>IF('11-SF'!L6="","",'11-SF'!L6)</f>
        <v>0</v>
      </c>
      <c r="O74" t="str">
        <f>IF('11-SF'!M6="","",'11-SF'!M6)</f>
        <v/>
      </c>
      <c r="P74" t="str">
        <f>IF('11-SF'!N6="","",'11-SF'!N6)</f>
        <v/>
      </c>
      <c r="Q74">
        <f>IF('11-SF'!O6="","",'11-SF'!O6)</f>
        <v>0</v>
      </c>
    </row>
    <row r="75" spans="1:18" ht="15">
      <c r="A75">
        <v>12</v>
      </c>
      <c r="B75" t="s">
        <v>117</v>
      </c>
      <c r="C75" t="str">
        <f>IF('12-VETO'!A6="","",'12-VETO'!A6)</f>
        <v>Allocations Familiales</v>
      </c>
      <c r="D75">
        <f>IF('12-VETO'!B6="","",'12-VETO'!B6)</f>
        <v>0</v>
      </c>
      <c r="E75">
        <f>IF('12-VETO'!C6="","",'12-VETO'!C6)</f>
        <v>0</v>
      </c>
      <c r="F75">
        <f>IF('12-VETO'!D6="","",'12-VETO'!D6)</f>
        <v>0</v>
      </c>
      <c r="G75" t="str">
        <f>IF('12-VETO'!E6="","",'12-VETO'!E6)</f>
        <v/>
      </c>
      <c r="H75" t="str">
        <f>IF('12-VETO'!F6="","",'12-VETO'!F6)</f>
        <v/>
      </c>
      <c r="I75">
        <f>IF('12-VETO'!G6="","",'12-VETO'!G6)</f>
        <v>0</v>
      </c>
      <c r="J75">
        <v>12</v>
      </c>
      <c r="K75" t="str">
        <f>IF('12-VETO'!I6="","",'12-VETO'!I6)</f>
        <v>Allocations Familiales</v>
      </c>
      <c r="L75">
        <f>IF('12-VETO'!J6="","",'12-VETO'!J6)</f>
        <v>0</v>
      </c>
      <c r="M75">
        <f>IF('12-VETO'!K6="","",'12-VETO'!K6)</f>
        <v>0</v>
      </c>
      <c r="N75">
        <f>IF('12-VETO'!L6="","",'12-VETO'!L6)</f>
        <v>0</v>
      </c>
      <c r="O75" t="str">
        <f>IF('12-VETO'!M6="","",'12-VETO'!M6)</f>
        <v/>
      </c>
      <c r="P75" t="str">
        <f>IF('12-VETO'!N6="","",'12-VETO'!N6)</f>
        <v/>
      </c>
      <c r="Q75">
        <f>IF('12-VETO'!O6="","",'12-VETO'!O6)</f>
        <v>0</v>
      </c>
    </row>
    <row r="76" spans="1:18" ht="15">
      <c r="A76">
        <v>13</v>
      </c>
      <c r="B76" t="s">
        <v>168</v>
      </c>
      <c r="C76" t="str">
        <f>IF('13-AGENT D''ASS'!A6="","",'13-AGENT D''ASS'!A6)</f>
        <v>Allocations Familiales</v>
      </c>
      <c r="D76">
        <f>IF('13-AGENT D''ASS'!B6="","",'13-AGENT D''ASS'!B6)</f>
        <v>0</v>
      </c>
      <c r="E76">
        <f>IF('13-AGENT D''ASS'!C6="","",'13-AGENT D''ASS'!C6)</f>
        <v>0</v>
      </c>
      <c r="F76">
        <f>IF('13-AGENT D''ASS'!D6="","",'13-AGENT D''ASS'!D6)</f>
        <v>0</v>
      </c>
      <c r="G76" t="str">
        <f>IF('13-AGENT D''ASS'!E6="","",'13-AGENT D''ASS'!E6)</f>
        <v/>
      </c>
      <c r="H76" t="str">
        <f>IF('13-AGENT D''ASS'!F6="","",'13-AGENT D''ASS'!F6)</f>
        <v/>
      </c>
      <c r="I76">
        <f>IF('13-AGENT D''ASS'!G6="","",'13-AGENT D''ASS'!G6)</f>
        <v>0</v>
      </c>
      <c r="J76">
        <v>13</v>
      </c>
      <c r="K76" t="str">
        <f>IF('13-AGENT D''ASS'!I6="","",'13-AGENT D''ASS'!I6)</f>
        <v>Allocations Familiales</v>
      </c>
      <c r="L76">
        <f>IF('13-AGENT D''ASS'!J6="","",'13-AGENT D''ASS'!J6)</f>
        <v>0</v>
      </c>
      <c r="M76">
        <f>IF('13-AGENT D''ASS'!K6="","",'13-AGENT D''ASS'!K6)</f>
        <v>0</v>
      </c>
      <c r="N76">
        <f>IF('13-AGENT D''ASS'!L6="","",'13-AGENT D''ASS'!L6)</f>
        <v>0</v>
      </c>
      <c r="O76" t="str">
        <f>IF('13-AGENT D''ASS'!M6="","",'13-AGENT D''ASS'!M6)</f>
        <v/>
      </c>
      <c r="P76" t="str">
        <f>IF('13-AGENT D''ASS'!N6="","",'13-AGENT D''ASS'!N6)</f>
        <v/>
      </c>
      <c r="Q76">
        <f>IF('13-AGENT D''ASS'!O6="","",'13-AGENT D''ASS'!O6)</f>
        <v>0</v>
      </c>
    </row>
    <row r="77" spans="1:18" ht="15">
      <c r="A77">
        <v>14</v>
      </c>
      <c r="B77" t="s">
        <v>169</v>
      </c>
      <c r="C77" t="str">
        <f>IF('14-Avocats'!A6="","",'14-Avocats'!A6)</f>
        <v>Allocations Familiales</v>
      </c>
      <c r="D77">
        <f>IF('14-Avocats'!B6="","",'14-Avocats'!B6)</f>
        <v>0</v>
      </c>
      <c r="E77">
        <f>IF('14-Avocats'!C6="","",'14-Avocats'!C6)</f>
        <v>0</v>
      </c>
      <c r="F77">
        <f>IF('14-Avocats'!D6="","",'14-Avocats'!D6)</f>
        <v>0</v>
      </c>
      <c r="G77" t="str">
        <f>IF('14-Avocats'!E6="","",'14-Avocats'!E6)</f>
        <v/>
      </c>
      <c r="H77" t="str">
        <f>IF('14-Avocats'!F6="","",'14-Avocats'!F6)</f>
        <v/>
      </c>
      <c r="I77">
        <f>IF('14-Avocats'!G6="","",'14-Avocats'!G6)</f>
        <v>0</v>
      </c>
      <c r="J77">
        <v>14</v>
      </c>
      <c r="K77" t="str">
        <f>IF('14-Avocats'!I6="","",'14-Avocats'!I6)</f>
        <v>Allocations Familiales</v>
      </c>
      <c r="L77">
        <f>IF('14-Avocats'!J6="","",'14-Avocats'!J6)</f>
        <v>0</v>
      </c>
      <c r="M77">
        <f>IF('14-Avocats'!K6="","",'14-Avocats'!K6)</f>
        <v>0</v>
      </c>
      <c r="N77">
        <f>IF('14-Avocats'!L6="","",'14-Avocats'!L6)</f>
        <v>0</v>
      </c>
      <c r="O77" t="str">
        <f>IF('14-Avocats'!M6="","",'14-Avocats'!M6)</f>
        <v/>
      </c>
      <c r="P77" t="str">
        <f>IF('14-Avocats'!N6="","",'14-Avocats'!N6)</f>
        <v/>
      </c>
      <c r="Q77">
        <f>IF('14-Avocats'!O6="","",'14-Avocats'!O6)</f>
        <v>0</v>
      </c>
    </row>
    <row r="78" spans="1:18" ht="15">
      <c r="A78">
        <v>15</v>
      </c>
      <c r="B78" t="s">
        <v>203</v>
      </c>
      <c r="C78" t="str">
        <f>IF('15-PODO'!A6="","",'15-PODO'!A4)</f>
        <v>Cotisation d'assurance maladie</v>
      </c>
      <c r="D78">
        <f>IF('15-PODO'!B6="","",'15-PODO'!B4)</f>
        <v>0</v>
      </c>
      <c r="E78">
        <f>IF('15-PODO'!C6="","",'15-PODO'!C4)</f>
        <v>0</v>
      </c>
      <c r="F78">
        <f>IF('15-PODO'!D6="","",'15-PODO'!D4)</f>
        <v>0</v>
      </c>
      <c r="G78" t="str">
        <f>IF('15-PODO'!E6="","",'15-PODO'!E4)</f>
        <v/>
      </c>
      <c r="H78" t="str">
        <f>IF('15-PODO'!F6="","",'15-PODO'!F4)</f>
        <v/>
      </c>
      <c r="I78">
        <f>IF('15-PODO'!G6="","",'15-PODO'!G4)</f>
        <v>0</v>
      </c>
      <c r="J78">
        <v>15</v>
      </c>
      <c r="K78" t="str">
        <f>IF('15-PODO'!I6="","",'15-PODO'!I4)</f>
        <v>Cotisation d'assurance maladie</v>
      </c>
      <c r="L78">
        <f>IF('15-PODO'!J6="","",'15-PODO'!J4)</f>
        <v>0</v>
      </c>
      <c r="M78">
        <f>IF('15-PODO'!K6="","",'15-PODO'!K4)</f>
        <v>0</v>
      </c>
      <c r="N78">
        <f>IF('15-PODO'!L6="","",'15-PODO'!L4)</f>
        <v>0</v>
      </c>
      <c r="O78" t="str">
        <f>IF('15-PODO'!M6="","",'15-PODO'!M4)</f>
        <v/>
      </c>
      <c r="P78" t="str">
        <f>IF('15-PODO'!N6="","",'15-PODO'!N4)</f>
        <v/>
      </c>
      <c r="Q78">
        <f>IF('15-PODO'!O6="","",'15-PODO'!O4)</f>
        <v>0</v>
      </c>
    </row>
    <row r="79" spans="1:18">
      <c r="B79" s="18" t="str">
        <f>B63</f>
        <v>LIGNE 3 : A6</v>
      </c>
      <c r="C79" s="18" t="e">
        <f>VLOOKUP($A$45,$A$64:$I$78,3,FALSE)</f>
        <v>#N/A</v>
      </c>
      <c r="D79" s="64" t="e">
        <f>VLOOKUP($A$27,$A$64:$I$78,4,FALSE)</f>
        <v>#N/A</v>
      </c>
      <c r="E79" s="46" t="e">
        <f>VLOOKUP($A$27,$A$64:$I$78,5,FALSE)</f>
        <v>#N/A</v>
      </c>
      <c r="F79" s="65" t="e">
        <f>VLOOKUP($A$27,$A$64:$I$78,6,FALSE)</f>
        <v>#N/A</v>
      </c>
      <c r="G79" s="46" t="e">
        <f>VLOOKUP($A$27,$A$64:$I$78,7,FALSE)</f>
        <v>#N/A</v>
      </c>
      <c r="H79" s="65" t="e">
        <f>VLOOKUP($A$27,$A$64:$I$78,8,FALSE)</f>
        <v>#N/A</v>
      </c>
      <c r="I79" s="65" t="e">
        <f>VLOOKUP($A$27,$A$64:$I$78,9,FALSE)</f>
        <v>#N/A</v>
      </c>
      <c r="J79" s="66" t="e">
        <f>IF(LEFT(C79,5)="TOTAL",1,0)</f>
        <v>#N/A</v>
      </c>
      <c r="K79" s="18" t="e">
        <f>VLOOKUP($A$27,$J$64:$Q$78,2,FALSE)</f>
        <v>#N/A</v>
      </c>
      <c r="L79" s="18" t="e">
        <f>VLOOKUP($A$27,$J$64:$Q$78,3,FALSE)</f>
        <v>#N/A</v>
      </c>
      <c r="M79" s="18" t="e">
        <f>VLOOKUP($A$27,$J$64:$Q$78,4,FALSE)</f>
        <v>#N/A</v>
      </c>
      <c r="N79" s="18" t="e">
        <f>VLOOKUP($A$27,$J$64:$Q$78,5,FALSE)</f>
        <v>#N/A</v>
      </c>
      <c r="O79" s="18" t="e">
        <f>VLOOKUP($A$27,$J$64:$Q$78,6,FALSE)</f>
        <v>#N/A</v>
      </c>
      <c r="P79" s="18" t="e">
        <f>VLOOKUP($A$27,$J$64:$Q$78,7,FALSE)</f>
        <v>#N/A</v>
      </c>
      <c r="Q79" s="18" t="e">
        <f>VLOOKUP($A$27,$J$64:$Q$78,8,FALSE)</f>
        <v>#N/A</v>
      </c>
      <c r="R79" s="66" t="e">
        <f>IF(LEFT(K79,5)="TOTAL",1,0)</f>
        <v>#N/A</v>
      </c>
    </row>
    <row r="81" spans="1:17">
      <c r="A81">
        <f>CAS</f>
        <v>0</v>
      </c>
      <c r="B81" t="s">
        <v>138</v>
      </c>
      <c r="D81" s="8" t="s">
        <v>19</v>
      </c>
      <c r="E81" s="8" t="s">
        <v>60</v>
      </c>
      <c r="F81" s="8" t="s">
        <v>61</v>
      </c>
      <c r="G81" s="8" t="s">
        <v>66</v>
      </c>
      <c r="H81" s="8" t="s">
        <v>64</v>
      </c>
      <c r="I81" s="8" t="s">
        <v>65</v>
      </c>
    </row>
    <row r="82" spans="1:17" ht="15">
      <c r="A82">
        <v>1</v>
      </c>
      <c r="B82" t="s">
        <v>106</v>
      </c>
      <c r="C82" t="str">
        <f>IF('1-ARTISAN'!A7="","",'1-ARTISAN'!A7)</f>
        <v>Retraite de base - Tr 1</v>
      </c>
      <c r="D82">
        <f>IF('1-ARTISAN'!B7="","",'1-ARTISAN'!B7)</f>
        <v>5243</v>
      </c>
      <c r="E82">
        <f>IF('1-ARTISAN'!C7="","",'1-ARTISAN'!C7)</f>
        <v>0.17749999999999999</v>
      </c>
      <c r="F82">
        <f>IF('1-ARTISAN'!D7="","",'1-ARTISAN'!D7)</f>
        <v>931</v>
      </c>
      <c r="G82" t="str">
        <f>IF('1-ARTISAN'!E7="","",'1-ARTISAN'!E7)</f>
        <v/>
      </c>
      <c r="H82" t="str">
        <f>IF('1-ARTISAN'!F7="","",'1-ARTISAN'!F7)</f>
        <v/>
      </c>
      <c r="I82">
        <f>IF('1-ARTISAN'!G7="","",'1-ARTISAN'!G7)</f>
        <v>931</v>
      </c>
      <c r="J82">
        <v>1</v>
      </c>
      <c r="K82" t="str">
        <f>IF('1-ARTISAN'!I7="","",'1-ARTISAN'!I7)</f>
        <v>Retraite de base - Tr 1</v>
      </c>
      <c r="L82">
        <f>IF('1-ARTISAN'!J7="","",'1-ARTISAN'!J7)</f>
        <v>5243</v>
      </c>
      <c r="M82">
        <f>IF('1-ARTISAN'!K7="","",'1-ARTISAN'!K7)</f>
        <v>0.17749999999999999</v>
      </c>
      <c r="N82">
        <f>IF('1-ARTISAN'!L7="","",'1-ARTISAN'!L7)</f>
        <v>931</v>
      </c>
      <c r="O82" t="str">
        <f>IF('1-ARTISAN'!M7="","",'1-ARTISAN'!M7)</f>
        <v/>
      </c>
      <c r="P82" t="str">
        <f>IF('1-ARTISAN'!N7="","",'1-ARTISAN'!N7)</f>
        <v/>
      </c>
      <c r="Q82">
        <f>IF('1-ARTISAN'!O7="","",'1-ARTISAN'!O7)</f>
        <v>931</v>
      </c>
    </row>
    <row r="83" spans="1:17" ht="15">
      <c r="A83">
        <v>2</v>
      </c>
      <c r="B83" t="s">
        <v>107</v>
      </c>
      <c r="C83" t="str">
        <f>IF('2-ARTISTES'!A7="","",'2-ARTISTES'!A7)</f>
        <v>CSG-CRDS</v>
      </c>
      <c r="D83">
        <f>IF('2-ARTISTES'!B7="","",'2-ARTISTES'!B7)</f>
        <v>0</v>
      </c>
      <c r="E83">
        <f>IF('2-ARTISTES'!C7="","",'2-ARTISTES'!C7)</f>
        <v>9.7000000000000003E-2</v>
      </c>
      <c r="F83">
        <f>IF('2-ARTISTES'!D7="","",'2-ARTISTES'!D7)</f>
        <v>0</v>
      </c>
      <c r="G83" t="str">
        <f>IF('2-ARTISTES'!E7="","",'2-ARTISTES'!E7)</f>
        <v/>
      </c>
      <c r="H83" t="str">
        <f>IF('2-ARTISTES'!F7="","",'2-ARTISTES'!F7)</f>
        <v/>
      </c>
      <c r="I83">
        <f>IF('2-ARTISTES'!G7="","",'2-ARTISTES'!G7)</f>
        <v>0</v>
      </c>
      <c r="J83">
        <v>2</v>
      </c>
      <c r="K83" t="str">
        <f>IF('2-ARTISTES'!I7="","",'2-ARTISTES'!I7)</f>
        <v>CSG-CRDS</v>
      </c>
      <c r="L83">
        <f>IF('2-ARTISTES'!J7="","",'2-ARTISTES'!J7)</f>
        <v>0</v>
      </c>
      <c r="M83">
        <f>IF('2-ARTISTES'!K7="","",'2-ARTISTES'!K7)</f>
        <v>9.7000000000000003E-2</v>
      </c>
      <c r="N83">
        <f>IF('2-ARTISTES'!L7="","",'2-ARTISTES'!L7)</f>
        <v>0</v>
      </c>
      <c r="O83" t="str">
        <f>IF('2-ARTISTES'!M7="","",'2-ARTISTES'!M7)</f>
        <v/>
      </c>
      <c r="P83" t="str">
        <f>IF('2-ARTISTES'!N7="","",'2-ARTISTES'!N7)</f>
        <v/>
      </c>
      <c r="Q83">
        <f>IF('2-ARTISTES'!O7="","",'2-ARTISTES'!O7)</f>
        <v>0</v>
      </c>
    </row>
    <row r="84" spans="1:17" ht="15">
      <c r="A84">
        <v>3</v>
      </c>
      <c r="B84" t="s">
        <v>108</v>
      </c>
      <c r="C84" t="str">
        <f>IF('3-Chir_dent'!A7="","",'3-Chir_dent'!A7)</f>
        <v>Allocations Familiales</v>
      </c>
      <c r="D84">
        <f>IF('3-Chir_dent'!B7="","",'3-Chir_dent'!B7)</f>
        <v>0</v>
      </c>
      <c r="E84">
        <f>IF('3-Chir_dent'!C7="","",'3-Chir_dent'!C7)</f>
        <v>0</v>
      </c>
      <c r="F84">
        <f>IF('3-Chir_dent'!D7="","",'3-Chir_dent'!D7)</f>
        <v>0</v>
      </c>
      <c r="G84" t="str">
        <f>IF('3-Chir_dent'!E7="","",'3-Chir_dent'!E7)</f>
        <v/>
      </c>
      <c r="H84" t="str">
        <f>IF('3-Chir_dent'!F7="","",'3-Chir_dent'!F7)</f>
        <v/>
      </c>
      <c r="I84">
        <f>IF('3-Chir_dent'!G7="","",'3-Chir_dent'!G7)</f>
        <v>0</v>
      </c>
      <c r="J84">
        <v>3</v>
      </c>
      <c r="K84" t="str">
        <f>IF('3-Chir_dent'!I7="","",'3-Chir_dent'!I7)</f>
        <v>Allocations Familiales</v>
      </c>
      <c r="L84">
        <f>IF('3-Chir_dent'!J7="","",'3-Chir_dent'!J7)</f>
        <v>0</v>
      </c>
      <c r="M84">
        <f>IF('3-Chir_dent'!K7="","",'3-Chir_dent'!K7)</f>
        <v>0</v>
      </c>
      <c r="N84">
        <f>IF('3-Chir_dent'!L7="","",'3-Chir_dent'!L7)</f>
        <v>0</v>
      </c>
      <c r="O84" t="str">
        <f>IF('3-Chir_dent'!M7="","",'3-Chir_dent'!M7)</f>
        <v/>
      </c>
      <c r="P84" t="str">
        <f>IF('3-Chir_dent'!N7="","",'3-Chir_dent'!N7)</f>
        <v/>
      </c>
      <c r="Q84">
        <f>IF('3-Chir_dent'!O7="","",'3-Chir_dent'!O7)</f>
        <v>0</v>
      </c>
    </row>
    <row r="85" spans="1:17" ht="15">
      <c r="A85">
        <v>4</v>
      </c>
      <c r="B85" t="s">
        <v>109</v>
      </c>
      <c r="C85" t="str">
        <f>IF('4-COMMERCANT'!A7="","",'4-COMMERCANT'!A7)</f>
        <v>Retraite de base - Tr 1</v>
      </c>
      <c r="D85">
        <f>IF('4-COMMERCANT'!B7="","",'4-COMMERCANT'!B7)</f>
        <v>5243</v>
      </c>
      <c r="E85">
        <f>IF('4-COMMERCANT'!C7="","",'4-COMMERCANT'!C7)</f>
        <v>0.17749999999999999</v>
      </c>
      <c r="F85">
        <f>IF('4-COMMERCANT'!D7="","",'4-COMMERCANT'!D7)</f>
        <v>931</v>
      </c>
      <c r="G85" t="str">
        <f>IF('4-COMMERCANT'!E7="","",'4-COMMERCANT'!E7)</f>
        <v/>
      </c>
      <c r="H85" t="str">
        <f>IF('4-COMMERCANT'!F7="","",'4-COMMERCANT'!F7)</f>
        <v/>
      </c>
      <c r="I85">
        <f>IF('4-COMMERCANT'!G7="","",'4-COMMERCANT'!G7)</f>
        <v>931</v>
      </c>
      <c r="J85">
        <v>4</v>
      </c>
      <c r="K85" t="str">
        <f>IF('4-COMMERCANT'!I7="","",'4-COMMERCANT'!I7)</f>
        <v>Retraite de base - Tr 1</v>
      </c>
      <c r="L85">
        <f>IF('4-COMMERCANT'!J7="","",'4-COMMERCANT'!J7)</f>
        <v>5243</v>
      </c>
      <c r="M85">
        <f>IF('4-COMMERCANT'!K7="","",'4-COMMERCANT'!K7)</f>
        <v>0.17749999999999999</v>
      </c>
      <c r="N85">
        <f>IF('4-COMMERCANT'!L7="","",'4-COMMERCANT'!L7)</f>
        <v>931</v>
      </c>
      <c r="O85" t="str">
        <f>IF('4-COMMERCANT'!M7="","",'4-COMMERCANT'!M7)</f>
        <v/>
      </c>
      <c r="P85" t="str">
        <f>IF('4-COMMERCANT'!N7="","",'4-COMMERCANT'!N7)</f>
        <v/>
      </c>
      <c r="Q85">
        <f>IF('4-COMMERCANT'!O7="","",'4-COMMERCANT'!O7)</f>
        <v>931</v>
      </c>
    </row>
    <row r="86" spans="1:17" ht="15">
      <c r="A86">
        <v>5</v>
      </c>
      <c r="B86" t="s">
        <v>110</v>
      </c>
      <c r="C86" t="str">
        <f>IF('5-EC_CAC'!A7="","",'5-EC_CAC'!A7)</f>
        <v>CFP</v>
      </c>
      <c r="D86">
        <f>IF('5-EC_CAC'!B7="","",'5-EC_CAC'!B7)</f>
        <v>46368</v>
      </c>
      <c r="E86">
        <f>IF('5-EC_CAC'!C7="","",'5-EC_CAC'!C7)</f>
        <v>2.5000000000000001E-3</v>
      </c>
      <c r="F86">
        <f>IF('5-EC_CAC'!D7="","",'5-EC_CAC'!D7)</f>
        <v>116</v>
      </c>
      <c r="G86" t="str">
        <f>IF('5-EC_CAC'!E7="","",'5-EC_CAC'!E7)</f>
        <v/>
      </c>
      <c r="H86" t="str">
        <f>IF('5-EC_CAC'!F7="","",'5-EC_CAC'!F7)</f>
        <v/>
      </c>
      <c r="I86">
        <f>IF('5-EC_CAC'!G7="","",'5-EC_CAC'!G7)</f>
        <v>116</v>
      </c>
      <c r="J86">
        <v>5</v>
      </c>
      <c r="K86" t="str">
        <f>IF('5-EC_CAC'!I7="","",'5-EC_CAC'!I7)</f>
        <v>CFP</v>
      </c>
      <c r="L86">
        <f>IF('5-EC_CAC'!J7="","",'5-EC_CAC'!J7)</f>
        <v>46368</v>
      </c>
      <c r="M86">
        <f>IF('5-EC_CAC'!K7="","",'5-EC_CAC'!K7)</f>
        <v>2.5000000000000001E-3</v>
      </c>
      <c r="N86">
        <f>IF('5-EC_CAC'!L7="","",'5-EC_CAC'!L7)</f>
        <v>116</v>
      </c>
      <c r="O86" t="str">
        <f>IF('5-EC_CAC'!M7="","",'5-EC_CAC'!M7)</f>
        <v/>
      </c>
      <c r="P86" t="str">
        <f>IF('5-EC_CAC'!N7="","",'5-EC_CAC'!N7)</f>
        <v/>
      </c>
      <c r="Q86">
        <f>IF('5-EC_CAC'!O7="","",'5-EC_CAC'!O7)</f>
        <v>116</v>
      </c>
    </row>
    <row r="87" spans="1:17" ht="15">
      <c r="A87">
        <v>6</v>
      </c>
      <c r="B87" t="s">
        <v>111</v>
      </c>
      <c r="C87" t="str">
        <f>IF('6-MédS1'!A7="","",'6-MédS1'!A7)</f>
        <v>Allocations Familiales</v>
      </c>
      <c r="D87">
        <f>IF('6-MédS1'!B7="","",'6-MédS1'!B7)</f>
        <v>0</v>
      </c>
      <c r="E87">
        <f>IF('6-MédS1'!C7="","",'6-MédS1'!C7)</f>
        <v>0</v>
      </c>
      <c r="F87">
        <f>IF('6-MédS1'!D7="","",'6-MédS1'!D7)</f>
        <v>0</v>
      </c>
      <c r="G87" t="str">
        <f>IF('6-MédS1'!E7="","",'6-MédS1'!E7)</f>
        <v>PCPAM</v>
      </c>
      <c r="H87">
        <f>IF('6-MédS1'!F7="","",'6-MédS1'!F7)</f>
        <v>0</v>
      </c>
      <c r="I87">
        <f>IF('6-MédS1'!G7="","",'6-MédS1'!G7)</f>
        <v>0</v>
      </c>
      <c r="J87">
        <v>6</v>
      </c>
      <c r="K87" t="str">
        <f>IF('6-MédS1'!I7="","",'6-MédS1'!I7)</f>
        <v>Allocations Familiales</v>
      </c>
      <c r="L87">
        <f>IF('6-MédS1'!J7="","",'6-MédS1'!J7)</f>
        <v>0</v>
      </c>
      <c r="M87">
        <f>IF('6-MédS1'!K7="","",'6-MédS1'!K7)</f>
        <v>0</v>
      </c>
      <c r="N87">
        <f>IF('6-MédS1'!L7="","",'6-MédS1'!L7)</f>
        <v>0</v>
      </c>
      <c r="O87" t="str">
        <f>IF('6-MédS1'!M7="","",'6-MédS1'!M7)</f>
        <v>PCPAM</v>
      </c>
      <c r="P87" t="e">
        <f>IF('6-MédS1'!N7="","",'6-MédS1'!N7)</f>
        <v>#DIV/0!</v>
      </c>
      <c r="Q87" t="e">
        <f>IF('6-MédS1'!O7="","",'6-MédS1'!O7)</f>
        <v>#DIV/0!</v>
      </c>
    </row>
    <row r="88" spans="1:17" ht="15">
      <c r="A88">
        <v>7</v>
      </c>
      <c r="B88" t="s">
        <v>112</v>
      </c>
      <c r="C88" t="str">
        <f>IF('7-MédS2'!A7="","",'7-MédS2'!A7)</f>
        <v>Allocations Familiales</v>
      </c>
      <c r="D88">
        <f>IF('7-MédS2'!B7="","",'7-MédS2'!B7)</f>
        <v>0</v>
      </c>
      <c r="E88">
        <f>IF('7-MédS2'!C7="","",'7-MédS2'!C7)</f>
        <v>0</v>
      </c>
      <c r="F88">
        <f>IF('7-MédS2'!D7="","",'7-MédS2'!D7)</f>
        <v>0</v>
      </c>
      <c r="G88" t="str">
        <f>IF('7-MédS2'!E7="","",'7-MédS2'!E7)</f>
        <v/>
      </c>
      <c r="H88" t="str">
        <f>IF('7-MédS2'!F7="","",'7-MédS2'!F7)</f>
        <v/>
      </c>
      <c r="I88">
        <f>IF('7-MédS2'!G7="","",'7-MédS2'!G7)</f>
        <v>0</v>
      </c>
      <c r="J88">
        <v>7</v>
      </c>
      <c r="K88" t="str">
        <f>IF('7-MédS2'!I7="","",'7-MédS2'!I7)</f>
        <v>Allocations Familiales</v>
      </c>
      <c r="L88">
        <f>IF('7-MédS2'!J7="","",'7-MédS2'!J7)</f>
        <v>0</v>
      </c>
      <c r="M88">
        <f>IF('7-MédS2'!K7="","",'7-MédS2'!K7)</f>
        <v>0</v>
      </c>
      <c r="N88">
        <f>IF('7-MédS2'!L7="","",'7-MédS2'!L7)</f>
        <v>0</v>
      </c>
      <c r="O88" t="str">
        <f>IF('7-MédS2'!M7="","",'7-MédS2'!M7)</f>
        <v/>
      </c>
      <c r="P88" t="str">
        <f>IF('7-MédS2'!N7="","",'7-MédS2'!N7)</f>
        <v/>
      </c>
      <c r="Q88">
        <f>IF('7-MédS2'!O7="","",'7-MédS2'!O7)</f>
        <v>0</v>
      </c>
    </row>
    <row r="89" spans="1:17" ht="15">
      <c r="A89">
        <v>8</v>
      </c>
      <c r="B89" t="s">
        <v>113</v>
      </c>
      <c r="C89" t="str">
        <f>IF('8-PAM'!A7="","",'8-PAM'!A7)</f>
        <v>Allocations Familiales</v>
      </c>
      <c r="D89">
        <f>IF('8-PAM'!B7="","",'8-PAM'!B7)</f>
        <v>0</v>
      </c>
      <c r="E89">
        <f>IF('8-PAM'!C7="","",'8-PAM'!C7)</f>
        <v>0</v>
      </c>
      <c r="F89">
        <f>IF('8-PAM'!D7="","",'8-PAM'!D7)</f>
        <v>0</v>
      </c>
      <c r="G89" t="str">
        <f>IF('8-PAM'!E7="","",'8-PAM'!E7)</f>
        <v/>
      </c>
      <c r="H89" t="str">
        <f>IF('8-PAM'!F7="","",'8-PAM'!F7)</f>
        <v/>
      </c>
      <c r="I89">
        <f>IF('8-PAM'!G7="","",'8-PAM'!G7)</f>
        <v>0</v>
      </c>
      <c r="J89">
        <v>8</v>
      </c>
      <c r="K89" t="str">
        <f>IF('8-PAM'!I7="","",'8-PAM'!I7)</f>
        <v>Allocations Familiales</v>
      </c>
      <c r="L89">
        <f>IF('8-PAM'!J7="","",'8-PAM'!J7)</f>
        <v>0</v>
      </c>
      <c r="M89">
        <f>IF('8-PAM'!K7="","",'8-PAM'!K7)</f>
        <v>0</v>
      </c>
      <c r="N89">
        <f>IF('8-PAM'!L7="","",'8-PAM'!L7)</f>
        <v>0</v>
      </c>
      <c r="O89" t="str">
        <f>IF('8-PAM'!M7="","",'8-PAM'!M7)</f>
        <v/>
      </c>
      <c r="P89" t="str">
        <f>IF('8-PAM'!N7="","",'8-PAM'!N7)</f>
        <v/>
      </c>
      <c r="Q89">
        <f>IF('8-PAM'!O7="","",'8-PAM'!O7)</f>
        <v>0</v>
      </c>
    </row>
    <row r="90" spans="1:17" ht="15">
      <c r="A90">
        <v>9</v>
      </c>
      <c r="B90" t="s">
        <v>114</v>
      </c>
      <c r="C90" t="str">
        <f>IF('9-CIPAV'!A7="","",'9-CIPAV'!A7)</f>
        <v>CFP</v>
      </c>
      <c r="D90">
        <f>IF('9-CIPAV'!B7="","",'9-CIPAV'!B7)</f>
        <v>46368</v>
      </c>
      <c r="E90">
        <f>IF('9-CIPAV'!C7="","",'9-CIPAV'!C7)</f>
        <v>2.5000000000000001E-3</v>
      </c>
      <c r="F90">
        <f>IF('9-CIPAV'!D7="","",'9-CIPAV'!D7)</f>
        <v>116</v>
      </c>
      <c r="G90" t="str">
        <f>IF('9-CIPAV'!E7="","",'9-CIPAV'!E7)</f>
        <v/>
      </c>
      <c r="H90" t="str">
        <f>IF('9-CIPAV'!F7="","",'9-CIPAV'!F7)</f>
        <v/>
      </c>
      <c r="I90">
        <f>IF('9-CIPAV'!G7="","",'9-CIPAV'!G7)</f>
        <v>116</v>
      </c>
      <c r="J90">
        <v>9</v>
      </c>
      <c r="K90" t="str">
        <f>IF('9-CIPAV'!I7="","",'9-CIPAV'!I7)</f>
        <v>CFP</v>
      </c>
      <c r="L90">
        <f>IF('9-CIPAV'!J7="","",'9-CIPAV'!J7)</f>
        <v>46368</v>
      </c>
      <c r="M90">
        <f>IF('9-CIPAV'!K7="","",'9-CIPAV'!K7)</f>
        <v>2.5000000000000001E-3</v>
      </c>
      <c r="N90">
        <f>IF('9-CIPAV'!L7="","",'9-CIPAV'!L7)</f>
        <v>116</v>
      </c>
      <c r="O90" t="str">
        <f>IF('9-CIPAV'!M7="","",'9-CIPAV'!M7)</f>
        <v/>
      </c>
      <c r="P90" t="str">
        <f>IF('9-CIPAV'!N7="","",'9-CIPAV'!N7)</f>
        <v/>
      </c>
      <c r="Q90">
        <f>IF('9-CIPAV'!O7="","",'9-CIPAV'!O7)</f>
        <v>116</v>
      </c>
    </row>
    <row r="91" spans="1:17" ht="15">
      <c r="A91">
        <v>10</v>
      </c>
      <c r="B91" t="s">
        <v>115</v>
      </c>
      <c r="C91" t="str">
        <f>IF('10-BNC-SSI'!A7="","",'10-BNC-SSI'!A7)</f>
        <v>Retraite de base - Tr 1</v>
      </c>
      <c r="D91">
        <f>IF('10-BNC-SSI'!B7="","",'10-BNC-SSI'!B7)</f>
        <v>5243</v>
      </c>
      <c r="E91">
        <f>IF('10-BNC-SSI'!C7="","",'10-BNC-SSI'!C7)</f>
        <v>0.17749999999999999</v>
      </c>
      <c r="F91">
        <f>IF('10-BNC-SSI'!D7="","",'10-BNC-SSI'!D7)</f>
        <v>931</v>
      </c>
      <c r="G91" t="str">
        <f>IF('10-BNC-SSI'!E7="","",'10-BNC-SSI'!E7)</f>
        <v/>
      </c>
      <c r="H91" t="str">
        <f>IF('10-BNC-SSI'!F7="","",'10-BNC-SSI'!F7)</f>
        <v/>
      </c>
      <c r="I91">
        <f>IF('10-BNC-SSI'!G7="","",'10-BNC-SSI'!G7)</f>
        <v>931</v>
      </c>
      <c r="J91">
        <v>10</v>
      </c>
      <c r="K91" t="str">
        <f>IF('10-BNC-SSI'!I7="","",'10-BNC-SSI'!I7)</f>
        <v>Retraite de base - Tr 1</v>
      </c>
      <c r="L91">
        <f>IF('10-BNC-SSI'!J7="","",'10-BNC-SSI'!J7)</f>
        <v>5243</v>
      </c>
      <c r="M91">
        <f>IF('10-BNC-SSI'!K7="","",'10-BNC-SSI'!K7)</f>
        <v>0.17749999999999999</v>
      </c>
      <c r="N91">
        <f>IF('10-BNC-SSI'!L7="","",'10-BNC-SSI'!L7)</f>
        <v>931</v>
      </c>
      <c r="O91" t="str">
        <f>IF('10-BNC-SSI'!M7="","",'10-BNC-SSI'!M7)</f>
        <v/>
      </c>
      <c r="P91" t="str">
        <f>IF('10-BNC-SSI'!N7="","",'10-BNC-SSI'!N7)</f>
        <v/>
      </c>
      <c r="Q91">
        <f>IF('10-BNC-SSI'!O7="","",'10-BNC-SSI'!O7)</f>
        <v>931</v>
      </c>
    </row>
    <row r="92" spans="1:17" ht="15">
      <c r="A92">
        <v>11</v>
      </c>
      <c r="B92" t="s">
        <v>116</v>
      </c>
      <c r="C92" t="str">
        <f>IF('11-SF'!A7="","",'11-SF'!A7)</f>
        <v>Allocations Familiales</v>
      </c>
      <c r="D92">
        <f>IF('11-SF'!B7="","",'11-SF'!B7)</f>
        <v>0</v>
      </c>
      <c r="E92">
        <f>IF('11-SF'!C7="","",'11-SF'!C7)</f>
        <v>0</v>
      </c>
      <c r="F92">
        <f>IF('11-SF'!D7="","",'11-SF'!D7)</f>
        <v>0</v>
      </c>
      <c r="G92" t="str">
        <f>IF('11-SF'!E7="","",'11-SF'!E7)</f>
        <v/>
      </c>
      <c r="H92" t="str">
        <f>IF('11-SF'!F7="","",'11-SF'!F7)</f>
        <v/>
      </c>
      <c r="I92">
        <f>IF('11-SF'!G7="","",'11-SF'!G7)</f>
        <v>0</v>
      </c>
      <c r="J92">
        <v>11</v>
      </c>
      <c r="K92" t="str">
        <f>IF('11-SF'!I7="","",'11-SF'!I7)</f>
        <v>Allocations Familiales</v>
      </c>
      <c r="L92">
        <f>IF('11-SF'!J7="","",'11-SF'!J7)</f>
        <v>0</v>
      </c>
      <c r="M92">
        <f>IF('11-SF'!K7="","",'11-SF'!K7)</f>
        <v>0</v>
      </c>
      <c r="N92">
        <f>IF('11-SF'!L7="","",'11-SF'!L7)</f>
        <v>0</v>
      </c>
      <c r="O92" t="str">
        <f>IF('11-SF'!M7="","",'11-SF'!M7)</f>
        <v/>
      </c>
      <c r="P92" t="str">
        <f>IF('11-SF'!N7="","",'11-SF'!N7)</f>
        <v/>
      </c>
      <c r="Q92">
        <f>IF('11-SF'!O7="","",'11-SF'!O7)</f>
        <v>0</v>
      </c>
    </row>
    <row r="93" spans="1:17" ht="15">
      <c r="A93">
        <v>12</v>
      </c>
      <c r="B93" t="s">
        <v>117</v>
      </c>
      <c r="C93" t="str">
        <f>IF('12-VETO'!A7="","",'12-VETO'!A7)</f>
        <v>CFP</v>
      </c>
      <c r="D93">
        <f>IF('12-VETO'!B7="","",'12-VETO'!B7)</f>
        <v>46368</v>
      </c>
      <c r="E93">
        <f>IF('12-VETO'!C7="","",'12-VETO'!C7)</f>
        <v>2.5000000000000001E-3</v>
      </c>
      <c r="F93">
        <f>IF('12-VETO'!D7="","",'12-VETO'!D7)</f>
        <v>116</v>
      </c>
      <c r="G93" t="str">
        <f>IF('12-VETO'!E7="","",'12-VETO'!E7)</f>
        <v/>
      </c>
      <c r="H93" t="str">
        <f>IF('12-VETO'!F7="","",'12-VETO'!F7)</f>
        <v/>
      </c>
      <c r="I93">
        <f>IF('12-VETO'!G7="","",'12-VETO'!G7)</f>
        <v>116</v>
      </c>
      <c r="J93">
        <v>12</v>
      </c>
      <c r="K93" t="str">
        <f>IF('12-VETO'!I7="","",'12-VETO'!I7)</f>
        <v>CFP</v>
      </c>
      <c r="L93">
        <f>IF('12-VETO'!J7="","",'12-VETO'!J7)</f>
        <v>46368</v>
      </c>
      <c r="M93">
        <f>IF('12-VETO'!K7="","",'12-VETO'!K7)</f>
        <v>2.5000000000000001E-3</v>
      </c>
      <c r="N93">
        <f>IF('12-VETO'!L7="","",'12-VETO'!L7)</f>
        <v>116</v>
      </c>
      <c r="O93" t="str">
        <f>IF('12-VETO'!M7="","",'12-VETO'!M7)</f>
        <v/>
      </c>
      <c r="P93" t="str">
        <f>IF('12-VETO'!N7="","",'12-VETO'!N7)</f>
        <v/>
      </c>
      <c r="Q93">
        <f>IF('12-VETO'!O7="","",'12-VETO'!O7)</f>
        <v>116</v>
      </c>
    </row>
    <row r="94" spans="1:17" ht="15">
      <c r="A94">
        <v>13</v>
      </c>
      <c r="B94" t="s">
        <v>168</v>
      </c>
      <c r="C94" t="str">
        <f>IF('13-AGENT D''ASS'!A7="","",'13-AGENT D''ASS'!A7)</f>
        <v>CFP</v>
      </c>
      <c r="D94">
        <f>IF('13-AGENT D''ASS'!B7="","",'13-AGENT D''ASS'!B7)</f>
        <v>46368</v>
      </c>
      <c r="E94">
        <f>IF('13-AGENT D''ASS'!C7="","",'13-AGENT D''ASS'!C7)</f>
        <v>2.5000000000000001E-3</v>
      </c>
      <c r="F94">
        <f>IF('13-AGENT D''ASS'!D7="","",'13-AGENT D''ASS'!D7)</f>
        <v>116</v>
      </c>
      <c r="G94" t="str">
        <f>IF('13-AGENT D''ASS'!E7="","",'13-AGENT D''ASS'!E7)</f>
        <v/>
      </c>
      <c r="H94" t="str">
        <f>IF('13-AGENT D''ASS'!F7="","",'13-AGENT D''ASS'!F7)</f>
        <v/>
      </c>
      <c r="I94">
        <f>IF('13-AGENT D''ASS'!G7="","",'13-AGENT D''ASS'!G7)</f>
        <v>116</v>
      </c>
      <c r="J94">
        <v>13</v>
      </c>
      <c r="K94" t="str">
        <f>IF('13-AGENT D''ASS'!I7="","",'13-AGENT D''ASS'!I7)</f>
        <v>CFP</v>
      </c>
      <c r="L94">
        <f>IF('13-AGENT D''ASS'!J7="","",'13-AGENT D''ASS'!J7)</f>
        <v>46368</v>
      </c>
      <c r="M94">
        <f>IF('13-AGENT D''ASS'!K7="","",'13-AGENT D''ASS'!K7)</f>
        <v>2.5000000000000001E-3</v>
      </c>
      <c r="N94">
        <f>IF('13-AGENT D''ASS'!L7="","",'13-AGENT D''ASS'!L7)</f>
        <v>116</v>
      </c>
      <c r="O94" t="str">
        <f>IF('13-AGENT D''ASS'!M7="","",'13-AGENT D''ASS'!M7)</f>
        <v/>
      </c>
      <c r="P94" t="str">
        <f>IF('13-AGENT D''ASS'!N7="","",'13-AGENT D''ASS'!N7)</f>
        <v/>
      </c>
      <c r="Q94">
        <f>IF('13-AGENT D''ASS'!O7="","",'13-AGENT D''ASS'!O7)</f>
        <v>116</v>
      </c>
    </row>
    <row r="95" spans="1:17" ht="15">
      <c r="A95">
        <v>14</v>
      </c>
      <c r="B95" t="s">
        <v>169</v>
      </c>
      <c r="C95" t="str">
        <f>IF('14-Avocats'!A7="","",'14-Avocats'!A7)</f>
        <v>CFP</v>
      </c>
      <c r="D95">
        <f>IF('14-Avocats'!B7="","",'14-Avocats'!B7)</f>
        <v>46368</v>
      </c>
      <c r="E95">
        <f>IF('14-Avocats'!C7="","",'14-Avocats'!C7)</f>
        <v>2.5000000000000001E-3</v>
      </c>
      <c r="F95">
        <f>IF('14-Avocats'!D7="","",'14-Avocats'!D7)</f>
        <v>116</v>
      </c>
      <c r="G95" t="str">
        <f>IF('14-Avocats'!E7="","",'14-Avocats'!E7)</f>
        <v/>
      </c>
      <c r="H95" t="str">
        <f>IF('14-Avocats'!F7="","",'14-Avocats'!F7)</f>
        <v/>
      </c>
      <c r="I95">
        <f>IF('14-Avocats'!G7="","",'14-Avocats'!G7)</f>
        <v>116</v>
      </c>
      <c r="J95">
        <v>14</v>
      </c>
      <c r="K95" t="str">
        <f>IF('14-Avocats'!I7="","",'14-Avocats'!I7)</f>
        <v>CFP</v>
      </c>
      <c r="L95">
        <f>IF('14-Avocats'!J7="","",'14-Avocats'!J7)</f>
        <v>46368</v>
      </c>
      <c r="M95">
        <f>IF('14-Avocats'!K7="","",'14-Avocats'!K7)</f>
        <v>2.5000000000000001E-3</v>
      </c>
      <c r="N95">
        <f>IF('14-Avocats'!L7="","",'14-Avocats'!L7)</f>
        <v>116</v>
      </c>
      <c r="O95" t="str">
        <f>IF('14-Avocats'!M7="","",'14-Avocats'!M7)</f>
        <v/>
      </c>
      <c r="P95" t="str">
        <f>IF('14-Avocats'!N7="","",'14-Avocats'!N7)</f>
        <v/>
      </c>
      <c r="Q95">
        <f>IF('14-Avocats'!O7="","",'14-Avocats'!O7)</f>
        <v>116</v>
      </c>
    </row>
    <row r="96" spans="1:17" ht="15">
      <c r="A96">
        <v>15</v>
      </c>
      <c r="B96" t="s">
        <v>203</v>
      </c>
      <c r="C96" t="str">
        <f>IF('15-PODO'!A7="","",'15-PODO'!A7)</f>
        <v>CFP</v>
      </c>
      <c r="D96">
        <f>IF('15-PODO'!B7="","",'15-PODO'!B7)</f>
        <v>46368</v>
      </c>
      <c r="E96">
        <f>IF('15-PODO'!C7="","",'15-PODO'!C7)</f>
        <v>2.5000000000000001E-3</v>
      </c>
      <c r="F96">
        <f>IF('15-PODO'!D7="","",'15-PODO'!D7)</f>
        <v>116</v>
      </c>
      <c r="G96" t="str">
        <f>IF('15-PODO'!E7="","",'15-PODO'!E7)</f>
        <v/>
      </c>
      <c r="H96" t="str">
        <f>IF('15-PODO'!F7="","",'15-PODO'!F7)</f>
        <v/>
      </c>
      <c r="I96">
        <f>IF('15-PODO'!G7="","",'15-PODO'!G7)</f>
        <v>116</v>
      </c>
      <c r="J96">
        <v>15</v>
      </c>
      <c r="K96" t="str">
        <f>IF('15-PODO'!I7="","",'15-PODO'!I7)</f>
        <v>CFP</v>
      </c>
      <c r="L96">
        <f>IF('15-PODO'!J7="","",'15-PODO'!J7)</f>
        <v>46368</v>
      </c>
      <c r="M96">
        <f>IF('15-PODO'!K7="","",'15-PODO'!K7)</f>
        <v>2.5000000000000001E-3</v>
      </c>
      <c r="N96">
        <f>IF('15-PODO'!L7="","",'15-PODO'!L7)</f>
        <v>116</v>
      </c>
      <c r="O96" t="str">
        <f>IF('15-PODO'!M7="","",'15-PODO'!M7)</f>
        <v/>
      </c>
      <c r="P96" t="str">
        <f>IF('15-PODO'!N7="","",'15-PODO'!N7)</f>
        <v/>
      </c>
      <c r="Q96">
        <f>IF('15-PODO'!O7="","",'15-PODO'!O7)</f>
        <v>116</v>
      </c>
    </row>
    <row r="97" spans="1:18">
      <c r="B97" s="18" t="str">
        <f>B81</f>
        <v>LIGNE 4 : A7</v>
      </c>
      <c r="C97" s="18" t="e">
        <f>VLOOKUP($A$45,$A$82:$I$96,3,FALSE)</f>
        <v>#N/A</v>
      </c>
      <c r="D97" s="64" t="e">
        <f>VLOOKUP($A$27,$A$82:$I$96,4,FALSE)</f>
        <v>#N/A</v>
      </c>
      <c r="E97" s="46" t="e">
        <f>VLOOKUP($A$27,$A$82:$I$96,5,FALSE)</f>
        <v>#N/A</v>
      </c>
      <c r="F97" s="65" t="e">
        <f>VLOOKUP($A$27,$A$82:$I$96,6,FALSE)</f>
        <v>#N/A</v>
      </c>
      <c r="G97" s="46" t="e">
        <f>VLOOKUP($A$27,$A$82:$I$96,7,FALSE)</f>
        <v>#N/A</v>
      </c>
      <c r="H97" s="65" t="e">
        <f>VLOOKUP($A$27,$A$82:$I$96,8,FALSE)</f>
        <v>#N/A</v>
      </c>
      <c r="I97" s="65" t="e">
        <f>VLOOKUP($A$27,$A$82:$I$96,9,FALSE)</f>
        <v>#N/A</v>
      </c>
      <c r="J97" s="66" t="e">
        <f>IF(LEFT(C97,5)="TOTAL",1,0)</f>
        <v>#N/A</v>
      </c>
      <c r="K97" s="18" t="e">
        <f>VLOOKUP($A$27,$J$82:$Q$96,2,FALSE)</f>
        <v>#N/A</v>
      </c>
      <c r="L97" s="18" t="e">
        <f>VLOOKUP($A$27,$J$82:$Q$96,3,FALSE)</f>
        <v>#N/A</v>
      </c>
      <c r="M97" s="18" t="e">
        <f>VLOOKUP($A$27,$J$82:$Q$96,4,FALSE)</f>
        <v>#N/A</v>
      </c>
      <c r="N97" s="18" t="e">
        <f>VLOOKUP($A$27,$J$82:$Q$96,5,FALSE)</f>
        <v>#N/A</v>
      </c>
      <c r="O97" s="18" t="e">
        <f>VLOOKUP($A$27,$J$82:$Q$96,6,FALSE)</f>
        <v>#N/A</v>
      </c>
      <c r="P97" s="18" t="e">
        <f>VLOOKUP($A$27,$J$82:$Q$96,7,FALSE)</f>
        <v>#N/A</v>
      </c>
      <c r="Q97" s="18" t="e">
        <f>VLOOKUP($A$27,$J$82:$Q$96,8,FALSE)</f>
        <v>#N/A</v>
      </c>
      <c r="R97" s="66" t="e">
        <f>IF(LEFT(K97,5)="TOTAL",1,0)</f>
        <v>#N/A</v>
      </c>
    </row>
    <row r="99" spans="1:18">
      <c r="A99">
        <f>CAS</f>
        <v>0</v>
      </c>
      <c r="B99" t="s">
        <v>139</v>
      </c>
      <c r="D99" s="8" t="s">
        <v>19</v>
      </c>
      <c r="E99" s="8" t="s">
        <v>60</v>
      </c>
      <c r="F99" s="8" t="s">
        <v>61</v>
      </c>
      <c r="G99" s="8" t="s">
        <v>66</v>
      </c>
      <c r="H99" s="8" t="s">
        <v>64</v>
      </c>
      <c r="I99" s="8" t="s">
        <v>65</v>
      </c>
    </row>
    <row r="100" spans="1:18" ht="15">
      <c r="A100">
        <v>1</v>
      </c>
      <c r="B100" t="s">
        <v>106</v>
      </c>
      <c r="C100" t="str">
        <f>IF('1-ARTISAN'!A8="","",'1-ARTISAN'!A8)</f>
        <v>Retraite de base - Tr 2</v>
      </c>
      <c r="D100">
        <f>IF('1-ARTISAN'!B8="","",'1-ARTISAN'!B8)</f>
        <v>0</v>
      </c>
      <c r="E100">
        <f>IF('1-ARTISAN'!C8="","",'1-ARTISAN'!C8)</f>
        <v>6.0000000000000001E-3</v>
      </c>
      <c r="F100">
        <f>IF('1-ARTISAN'!D8="","",'1-ARTISAN'!D8)</f>
        <v>0</v>
      </c>
      <c r="G100" t="str">
        <f>IF('1-ARTISAN'!E8="","",'1-ARTISAN'!E8)</f>
        <v/>
      </c>
      <c r="H100" t="str">
        <f>IF('1-ARTISAN'!F8="","",'1-ARTISAN'!F8)</f>
        <v/>
      </c>
      <c r="I100">
        <f>IF('1-ARTISAN'!G8="","",'1-ARTISAN'!G8)</f>
        <v>0</v>
      </c>
      <c r="J100">
        <v>1</v>
      </c>
      <c r="K100" t="str">
        <f>IF('1-ARTISAN'!I8="","",'1-ARTISAN'!I8)</f>
        <v>Retraite de base - Tr 2</v>
      </c>
      <c r="L100">
        <f>IF('1-ARTISAN'!J8="","",'1-ARTISAN'!J8)</f>
        <v>0</v>
      </c>
      <c r="M100">
        <f>IF('1-ARTISAN'!K8="","",'1-ARTISAN'!K8)</f>
        <v>6.0000000000000001E-3</v>
      </c>
      <c r="N100">
        <f>IF('1-ARTISAN'!L8="","",'1-ARTISAN'!L8)</f>
        <v>0</v>
      </c>
      <c r="O100" t="str">
        <f>IF('1-ARTISAN'!M8="","",'1-ARTISAN'!M8)</f>
        <v/>
      </c>
      <c r="P100" t="str">
        <f>IF('1-ARTISAN'!N8="","",'1-ARTISAN'!N8)</f>
        <v/>
      </c>
      <c r="Q100">
        <f>IF('1-ARTISAN'!O8="","",'1-ARTISAN'!O8)</f>
        <v>0</v>
      </c>
    </row>
    <row r="101" spans="1:18" ht="15">
      <c r="A101">
        <v>2</v>
      </c>
      <c r="B101" t="s">
        <v>107</v>
      </c>
      <c r="C101" t="str">
        <f>IF('2-ARTISTES'!A8="","",'2-ARTISTES'!A8)</f>
        <v>TOTAL URSSAF</v>
      </c>
      <c r="D101" t="str">
        <f>IF('2-ARTISTES'!B8="","",'2-ARTISTES'!B8)</f>
        <v/>
      </c>
      <c r="E101" t="str">
        <f>IF('2-ARTISTES'!C8="","",'2-ARTISTES'!C8)</f>
        <v/>
      </c>
      <c r="F101" t="str">
        <f>IF('2-ARTISTES'!D8="","",'2-ARTISTES'!D8)</f>
        <v/>
      </c>
      <c r="G101" t="str">
        <f>IF('2-ARTISTES'!E8="","",'2-ARTISTES'!E8)</f>
        <v/>
      </c>
      <c r="H101" t="str">
        <f>IF('2-ARTISTES'!F8="","",'2-ARTISTES'!F8)</f>
        <v/>
      </c>
      <c r="I101">
        <f>IF('2-ARTISTES'!G8="","",'2-ARTISTES'!G8)</f>
        <v>0</v>
      </c>
      <c r="J101">
        <v>2</v>
      </c>
      <c r="K101" t="str">
        <f>IF('2-ARTISTES'!I8="","",'2-ARTISTES'!I8)</f>
        <v>TOTAL URSSAF</v>
      </c>
      <c r="L101" t="str">
        <f>IF('2-ARTISTES'!J8="","",'2-ARTISTES'!J8)</f>
        <v/>
      </c>
      <c r="M101" t="str">
        <f>IF('2-ARTISTES'!K8="","",'2-ARTISTES'!K8)</f>
        <v/>
      </c>
      <c r="N101" t="str">
        <f>IF('2-ARTISTES'!L8="","",'2-ARTISTES'!L8)</f>
        <v/>
      </c>
      <c r="O101" t="str">
        <f>IF('2-ARTISTES'!M8="","",'2-ARTISTES'!M8)</f>
        <v/>
      </c>
      <c r="P101" t="str">
        <f>IF('2-ARTISTES'!N8="","",'2-ARTISTES'!N8)</f>
        <v/>
      </c>
      <c r="Q101">
        <f>IF('2-ARTISTES'!O8="","",'2-ARTISTES'!O8)</f>
        <v>0</v>
      </c>
    </row>
    <row r="102" spans="1:18" ht="15">
      <c r="A102">
        <v>3</v>
      </c>
      <c r="B102" t="s">
        <v>108</v>
      </c>
      <c r="C102" t="str">
        <f>IF('3-Chir_dent'!A8="","",'3-Chir_dent'!A8)</f>
        <v>CFP</v>
      </c>
      <c r="D102">
        <f>IF('3-Chir_dent'!B8="","",'3-Chir_dent'!B8)</f>
        <v>46368</v>
      </c>
      <c r="E102">
        <f>IF('3-Chir_dent'!C8="","",'3-Chir_dent'!C8)</f>
        <v>2.5000000000000001E-3</v>
      </c>
      <c r="F102">
        <f>IF('3-Chir_dent'!D8="","",'3-Chir_dent'!D8)</f>
        <v>116</v>
      </c>
      <c r="G102" t="str">
        <f>IF('3-Chir_dent'!E8="","",'3-Chir_dent'!E8)</f>
        <v/>
      </c>
      <c r="H102" t="str">
        <f>IF('3-Chir_dent'!F8="","",'3-Chir_dent'!F8)</f>
        <v/>
      </c>
      <c r="I102">
        <f>IF('3-Chir_dent'!G8="","",'3-Chir_dent'!G8)</f>
        <v>116</v>
      </c>
      <c r="J102">
        <v>3</v>
      </c>
      <c r="K102" t="str">
        <f>IF('3-Chir_dent'!I8="","",'3-Chir_dent'!I8)</f>
        <v>CFP</v>
      </c>
      <c r="L102">
        <f>IF('3-Chir_dent'!J8="","",'3-Chir_dent'!J8)</f>
        <v>46368</v>
      </c>
      <c r="M102">
        <f>IF('3-Chir_dent'!K8="","",'3-Chir_dent'!K8)</f>
        <v>2.5000000000000001E-3</v>
      </c>
      <c r="N102">
        <f>IF('3-Chir_dent'!L8="","",'3-Chir_dent'!L8)</f>
        <v>116</v>
      </c>
      <c r="O102" t="str">
        <f>IF('3-Chir_dent'!M8="","",'3-Chir_dent'!M8)</f>
        <v/>
      </c>
      <c r="P102" t="str">
        <f>IF('3-Chir_dent'!N8="","",'3-Chir_dent'!N8)</f>
        <v/>
      </c>
      <c r="Q102">
        <f>IF('3-Chir_dent'!O8="","",'3-Chir_dent'!O8)</f>
        <v>116</v>
      </c>
    </row>
    <row r="103" spans="1:18" ht="15">
      <c r="A103">
        <v>4</v>
      </c>
      <c r="B103" t="s">
        <v>109</v>
      </c>
      <c r="C103" t="str">
        <f>IF('4-COMMERCANT'!A8="","",'4-COMMERCANT'!A8)</f>
        <v>Retraite de base - Tr 2</v>
      </c>
      <c r="D103">
        <f>IF('4-COMMERCANT'!B8="","",'4-COMMERCANT'!B8)</f>
        <v>0</v>
      </c>
      <c r="E103">
        <f>IF('4-COMMERCANT'!C8="","",'4-COMMERCANT'!C8)</f>
        <v>6.0000000000000001E-3</v>
      </c>
      <c r="F103">
        <f>IF('4-COMMERCANT'!D8="","",'4-COMMERCANT'!D8)</f>
        <v>0</v>
      </c>
      <c r="G103" t="str">
        <f>IF('4-COMMERCANT'!E8="","",'4-COMMERCANT'!E8)</f>
        <v/>
      </c>
      <c r="H103" t="str">
        <f>IF('4-COMMERCANT'!F8="","",'4-COMMERCANT'!F8)</f>
        <v/>
      </c>
      <c r="I103">
        <f>IF('4-COMMERCANT'!G8="","",'4-COMMERCANT'!G8)</f>
        <v>0</v>
      </c>
      <c r="J103">
        <v>4</v>
      </c>
      <c r="K103" t="str">
        <f>IF('4-COMMERCANT'!I8="","",'4-COMMERCANT'!I8)</f>
        <v>Retraite de base - Tr 2</v>
      </c>
      <c r="L103">
        <f>IF('4-COMMERCANT'!J8="","",'4-COMMERCANT'!J8)</f>
        <v>0</v>
      </c>
      <c r="M103">
        <f>IF('4-COMMERCANT'!K8="","",'4-COMMERCANT'!K8)</f>
        <v>6.0000000000000001E-3</v>
      </c>
      <c r="N103">
        <f>IF('4-COMMERCANT'!L8="","",'4-COMMERCANT'!L8)</f>
        <v>0</v>
      </c>
      <c r="O103" t="str">
        <f>IF('4-COMMERCANT'!M8="","",'4-COMMERCANT'!M8)</f>
        <v/>
      </c>
      <c r="P103" t="str">
        <f>IF('4-COMMERCANT'!N8="","",'4-COMMERCANT'!N8)</f>
        <v/>
      </c>
      <c r="Q103">
        <f>IF('4-COMMERCANT'!O8="","",'4-COMMERCANT'!O8)</f>
        <v>0</v>
      </c>
    </row>
    <row r="104" spans="1:18" ht="15">
      <c r="A104">
        <v>5</v>
      </c>
      <c r="B104" t="s">
        <v>110</v>
      </c>
      <c r="C104" t="str">
        <f>IF('5-EC_CAC'!A8="","",'5-EC_CAC'!A8)</f>
        <v>CSG-CRDS</v>
      </c>
      <c r="D104">
        <f>IF('5-EC_CAC'!B8="","",'5-EC_CAC'!B8)</f>
        <v>0</v>
      </c>
      <c r="E104">
        <f>IF('5-EC_CAC'!C8="","",'5-EC_CAC'!C8)</f>
        <v>9.7000000000000003E-2</v>
      </c>
      <c r="F104">
        <f>IF('5-EC_CAC'!D8="","",'5-EC_CAC'!D8)</f>
        <v>0</v>
      </c>
      <c r="G104" t="str">
        <f>IF('5-EC_CAC'!E8="","",'5-EC_CAC'!E8)</f>
        <v/>
      </c>
      <c r="H104" t="str">
        <f>IF('5-EC_CAC'!F8="","",'5-EC_CAC'!F8)</f>
        <v/>
      </c>
      <c r="I104">
        <f>IF('5-EC_CAC'!G8="","",'5-EC_CAC'!G8)</f>
        <v>0</v>
      </c>
      <c r="J104">
        <v>5</v>
      </c>
      <c r="K104" t="str">
        <f>IF('5-EC_CAC'!I8="","",'5-EC_CAC'!I8)</f>
        <v>CSG-CRDS</v>
      </c>
      <c r="L104">
        <f>IF('5-EC_CAC'!J8="","",'5-EC_CAC'!J8)</f>
        <v>0</v>
      </c>
      <c r="M104">
        <f>IF('5-EC_CAC'!K8="","",'5-EC_CAC'!K8)</f>
        <v>9.7000000000000003E-2</v>
      </c>
      <c r="N104">
        <f>IF('5-EC_CAC'!L8="","",'5-EC_CAC'!L8)</f>
        <v>0</v>
      </c>
      <c r="O104" t="str">
        <f>IF('5-EC_CAC'!M8="","",'5-EC_CAC'!M8)</f>
        <v/>
      </c>
      <c r="P104" t="str">
        <f>IF('5-EC_CAC'!N8="","",'5-EC_CAC'!N8)</f>
        <v/>
      </c>
      <c r="Q104">
        <f>IF('5-EC_CAC'!O8="","",'5-EC_CAC'!O8)</f>
        <v>0</v>
      </c>
    </row>
    <row r="105" spans="1:18" ht="15">
      <c r="A105">
        <v>6</v>
      </c>
      <c r="B105" t="s">
        <v>111</v>
      </c>
      <c r="C105" t="str">
        <f>IF('6-MédS1'!A8="","",'6-MédS1'!A8)</f>
        <v>CFP</v>
      </c>
      <c r="D105">
        <f>IF('6-MédS1'!B8="","",'6-MédS1'!B8)</f>
        <v>46368</v>
      </c>
      <c r="E105">
        <f>IF('6-MédS1'!C8="","",'6-MédS1'!C8)</f>
        <v>2.5000000000000001E-3</v>
      </c>
      <c r="F105">
        <f>IF('6-MédS1'!D8="","",'6-MédS1'!D8)</f>
        <v>116</v>
      </c>
      <c r="G105" t="str">
        <f>IF('6-MédS1'!E8="","",'6-MédS1'!E8)</f>
        <v/>
      </c>
      <c r="H105" t="str">
        <f>IF('6-MédS1'!F8="","",'6-MédS1'!F8)</f>
        <v/>
      </c>
      <c r="I105">
        <f>IF('6-MédS1'!G8="","",'6-MédS1'!G8)</f>
        <v>116</v>
      </c>
      <c r="J105">
        <v>6</v>
      </c>
      <c r="K105" t="str">
        <f>IF('6-MédS1'!I8="","",'6-MédS1'!I8)</f>
        <v>CFP</v>
      </c>
      <c r="L105">
        <f>IF('6-MédS1'!J8="","",'6-MédS1'!J8)</f>
        <v>46368</v>
      </c>
      <c r="M105">
        <f>IF('6-MédS1'!K8="","",'6-MédS1'!K8)</f>
        <v>2.5000000000000001E-3</v>
      </c>
      <c r="N105">
        <f>IF('6-MédS1'!L8="","",'6-MédS1'!L8)</f>
        <v>116</v>
      </c>
      <c r="O105" t="str">
        <f>IF('6-MédS1'!M8="","",'6-MédS1'!M8)</f>
        <v/>
      </c>
      <c r="P105" t="str">
        <f>IF('6-MédS1'!N8="","",'6-MédS1'!N8)</f>
        <v/>
      </c>
      <c r="Q105">
        <f>IF('6-MédS1'!O8="","",'6-MédS1'!O8)</f>
        <v>116</v>
      </c>
    </row>
    <row r="106" spans="1:18" ht="15">
      <c r="A106">
        <v>7</v>
      </c>
      <c r="B106" t="s">
        <v>112</v>
      </c>
      <c r="C106" t="str">
        <f>IF('7-MédS2'!A8="","",'7-MédS2'!A8)</f>
        <v>CFP</v>
      </c>
      <c r="D106">
        <f>IF('7-MédS2'!B8="","",'7-MédS2'!B8)</f>
        <v>46368</v>
      </c>
      <c r="E106">
        <f>IF('7-MédS2'!C8="","",'7-MédS2'!C8)</f>
        <v>2.5000000000000001E-3</v>
      </c>
      <c r="F106">
        <f>IF('7-MédS2'!D8="","",'7-MédS2'!D8)</f>
        <v>116</v>
      </c>
      <c r="G106" t="str">
        <f>IF('7-MédS2'!E8="","",'7-MédS2'!E8)</f>
        <v/>
      </c>
      <c r="H106" t="str">
        <f>IF('7-MédS2'!F8="","",'7-MédS2'!F8)</f>
        <v/>
      </c>
      <c r="I106">
        <f>IF('7-MédS2'!G8="","",'7-MédS2'!G8)</f>
        <v>116</v>
      </c>
      <c r="J106">
        <v>7</v>
      </c>
      <c r="K106" t="str">
        <f>IF('7-MédS2'!I8="","",'7-MédS2'!I8)</f>
        <v>CFP</v>
      </c>
      <c r="L106">
        <f>IF('7-MédS2'!J8="","",'7-MédS2'!J8)</f>
        <v>46368</v>
      </c>
      <c r="M106">
        <f>IF('7-MédS2'!K8="","",'7-MédS2'!K8)</f>
        <v>2.5000000000000001E-3</v>
      </c>
      <c r="N106">
        <f>IF('7-MédS2'!L8="","",'7-MédS2'!L8)</f>
        <v>116</v>
      </c>
      <c r="O106" t="str">
        <f>IF('7-MédS2'!M8="","",'7-MédS2'!M8)</f>
        <v/>
      </c>
      <c r="P106" t="str">
        <f>IF('7-MédS2'!N8="","",'7-MédS2'!N8)</f>
        <v/>
      </c>
      <c r="Q106">
        <f>IF('7-MédS2'!O8="","",'7-MédS2'!O8)</f>
        <v>116</v>
      </c>
    </row>
    <row r="107" spans="1:18" ht="15">
      <c r="A107">
        <v>8</v>
      </c>
      <c r="B107" t="s">
        <v>113</v>
      </c>
      <c r="C107" t="str">
        <f>IF('8-PAM'!A8="","",'8-PAM'!A8)</f>
        <v>CFP</v>
      </c>
      <c r="D107">
        <f>IF('8-PAM'!B8="","",'8-PAM'!B8)</f>
        <v>46368</v>
      </c>
      <c r="E107">
        <f>IF('8-PAM'!C8="","",'8-PAM'!C8)</f>
        <v>2.5000000000000001E-3</v>
      </c>
      <c r="F107">
        <f>IF('8-PAM'!D8="","",'8-PAM'!D8)</f>
        <v>116</v>
      </c>
      <c r="G107" t="str">
        <f>IF('8-PAM'!E8="","",'8-PAM'!E8)</f>
        <v/>
      </c>
      <c r="H107" t="str">
        <f>IF('8-PAM'!F8="","",'8-PAM'!F8)</f>
        <v/>
      </c>
      <c r="I107">
        <f>IF('8-PAM'!G8="","",'8-PAM'!G8)</f>
        <v>116</v>
      </c>
      <c r="J107">
        <v>8</v>
      </c>
      <c r="K107" t="str">
        <f>IF('8-PAM'!I8="","",'8-PAM'!I8)</f>
        <v>CFP</v>
      </c>
      <c r="L107">
        <f>IF('8-PAM'!J8="","",'8-PAM'!J8)</f>
        <v>46368</v>
      </c>
      <c r="M107">
        <f>IF('8-PAM'!K8="","",'8-PAM'!K8)</f>
        <v>2.5000000000000001E-3</v>
      </c>
      <c r="N107">
        <f>IF('8-PAM'!L8="","",'8-PAM'!L8)</f>
        <v>116</v>
      </c>
      <c r="O107" t="str">
        <f>IF('8-PAM'!M8="","",'8-PAM'!M8)</f>
        <v/>
      </c>
      <c r="P107" t="str">
        <f>IF('8-PAM'!N8="","",'8-PAM'!N8)</f>
        <v/>
      </c>
      <c r="Q107">
        <f>IF('8-PAM'!O8="","",'8-PAM'!O8)</f>
        <v>116</v>
      </c>
    </row>
    <row r="108" spans="1:18" ht="15">
      <c r="A108">
        <v>9</v>
      </c>
      <c r="B108" t="s">
        <v>114</v>
      </c>
      <c r="C108" t="str">
        <f>IF('9-CIPAV'!A8="","",'9-CIPAV'!A8)</f>
        <v>CSG-CRDS</v>
      </c>
      <c r="D108">
        <f>IF('9-CIPAV'!B8="","",'9-CIPAV'!B8)</f>
        <v>0</v>
      </c>
      <c r="E108">
        <f>IF('9-CIPAV'!C8="","",'9-CIPAV'!C8)</f>
        <v>9.7000000000000003E-2</v>
      </c>
      <c r="F108">
        <f>IF('9-CIPAV'!D8="","",'9-CIPAV'!D8)</f>
        <v>0</v>
      </c>
      <c r="G108" t="str">
        <f>IF('9-CIPAV'!E8="","",'9-CIPAV'!E8)</f>
        <v/>
      </c>
      <c r="H108" t="str">
        <f>IF('9-CIPAV'!F8="","",'9-CIPAV'!F8)</f>
        <v/>
      </c>
      <c r="I108">
        <f>IF('9-CIPAV'!G8="","",'9-CIPAV'!G8)</f>
        <v>0</v>
      </c>
      <c r="J108">
        <v>9</v>
      </c>
      <c r="K108" t="str">
        <f>IF('9-CIPAV'!I8="","",'9-CIPAV'!I8)</f>
        <v>CSG-CRDS</v>
      </c>
      <c r="L108">
        <f>IF('9-CIPAV'!J8="","",'9-CIPAV'!J8)</f>
        <v>0</v>
      </c>
      <c r="M108">
        <f>IF('9-CIPAV'!K8="","",'9-CIPAV'!K8)</f>
        <v>9.7000000000000003E-2</v>
      </c>
      <c r="N108">
        <f>IF('9-CIPAV'!L8="","",'9-CIPAV'!L8)</f>
        <v>0</v>
      </c>
      <c r="O108" t="str">
        <f>IF('9-CIPAV'!M8="","",'9-CIPAV'!M8)</f>
        <v/>
      </c>
      <c r="P108" t="str">
        <f>IF('9-CIPAV'!N8="","",'9-CIPAV'!N8)</f>
        <v/>
      </c>
      <c r="Q108">
        <f>IF('9-CIPAV'!O8="","",'9-CIPAV'!O8)</f>
        <v>0</v>
      </c>
    </row>
    <row r="109" spans="1:18" ht="15">
      <c r="A109">
        <v>10</v>
      </c>
      <c r="B109" t="s">
        <v>115</v>
      </c>
      <c r="C109" t="str">
        <f>IF('10-BNC-SSI'!A8="","",'10-BNC-SSI'!A8)</f>
        <v>Retraite de base - Tr 2</v>
      </c>
      <c r="D109">
        <f>IF('10-BNC-SSI'!B8="","",'10-BNC-SSI'!B8)</f>
        <v>0</v>
      </c>
      <c r="E109">
        <f>IF('10-BNC-SSI'!C8="","",'10-BNC-SSI'!C8)</f>
        <v>6.0000000000000001E-3</v>
      </c>
      <c r="F109">
        <f>IF('10-BNC-SSI'!D8="","",'10-BNC-SSI'!D8)</f>
        <v>0</v>
      </c>
      <c r="G109" t="str">
        <f>IF('10-BNC-SSI'!E8="","",'10-BNC-SSI'!E8)</f>
        <v/>
      </c>
      <c r="H109" t="str">
        <f>IF('10-BNC-SSI'!F8="","",'10-BNC-SSI'!F8)</f>
        <v/>
      </c>
      <c r="I109">
        <f>IF('10-BNC-SSI'!G8="","",'10-BNC-SSI'!G8)</f>
        <v>0</v>
      </c>
      <c r="J109">
        <v>10</v>
      </c>
      <c r="K109" t="str">
        <f>IF('10-BNC-SSI'!I8="","",'10-BNC-SSI'!I8)</f>
        <v>Retraite de base - Tr 2</v>
      </c>
      <c r="L109">
        <f>IF('10-BNC-SSI'!J8="","",'10-BNC-SSI'!J8)</f>
        <v>0</v>
      </c>
      <c r="M109">
        <f>IF('10-BNC-SSI'!K8="","",'10-BNC-SSI'!K8)</f>
        <v>6.0000000000000001E-3</v>
      </c>
      <c r="N109">
        <f>IF('10-BNC-SSI'!L8="","",'10-BNC-SSI'!L8)</f>
        <v>0</v>
      </c>
      <c r="O109" t="str">
        <f>IF('10-BNC-SSI'!M8="","",'10-BNC-SSI'!M8)</f>
        <v/>
      </c>
      <c r="P109" t="str">
        <f>IF('10-BNC-SSI'!N8="","",'10-BNC-SSI'!N8)</f>
        <v/>
      </c>
      <c r="Q109">
        <f>IF('10-BNC-SSI'!O8="","",'10-BNC-SSI'!O8)</f>
        <v>0</v>
      </c>
    </row>
    <row r="110" spans="1:18" ht="15">
      <c r="A110">
        <v>11</v>
      </c>
      <c r="B110" t="s">
        <v>116</v>
      </c>
      <c r="C110" t="str">
        <f>IF('11-SF'!A8="","",'11-SF'!A8)</f>
        <v>CFP</v>
      </c>
      <c r="D110">
        <f>IF('11-SF'!B8="","",'11-SF'!B8)</f>
        <v>46368</v>
      </c>
      <c r="E110">
        <f>IF('11-SF'!C8="","",'11-SF'!C8)</f>
        <v>2.5000000000000001E-3</v>
      </c>
      <c r="F110">
        <f>IF('11-SF'!D8="","",'11-SF'!D8)</f>
        <v>116</v>
      </c>
      <c r="G110" t="str">
        <f>IF('11-SF'!E8="","",'11-SF'!E8)</f>
        <v/>
      </c>
      <c r="H110" t="str">
        <f>IF('11-SF'!F8="","",'11-SF'!F8)</f>
        <v/>
      </c>
      <c r="I110">
        <f>IF('11-SF'!G8="","",'11-SF'!G8)</f>
        <v>116</v>
      </c>
      <c r="J110">
        <v>11</v>
      </c>
      <c r="K110" t="str">
        <f>IF('11-SF'!I8="","",'11-SF'!I8)</f>
        <v>CFP</v>
      </c>
      <c r="L110">
        <f>IF('11-SF'!J8="","",'11-SF'!J8)</f>
        <v>46368</v>
      </c>
      <c r="M110">
        <f>IF('11-SF'!K8="","",'11-SF'!K8)</f>
        <v>2.5000000000000001E-3</v>
      </c>
      <c r="N110">
        <f>IF('11-SF'!L8="","",'11-SF'!L8)</f>
        <v>116</v>
      </c>
      <c r="O110" t="str">
        <f>IF('11-SF'!M8="","",'11-SF'!M8)</f>
        <v/>
      </c>
      <c r="P110" t="str">
        <f>IF('11-SF'!N8="","",'11-SF'!N8)</f>
        <v/>
      </c>
      <c r="Q110">
        <f>IF('11-SF'!O8="","",'11-SF'!O8)</f>
        <v>116</v>
      </c>
    </row>
    <row r="111" spans="1:18" ht="15">
      <c r="A111">
        <v>12</v>
      </c>
      <c r="B111" t="s">
        <v>117</v>
      </c>
      <c r="C111" t="str">
        <f>IF('12-VETO'!A8="","",'12-VETO'!A8)</f>
        <v>CSG-CRDS</v>
      </c>
      <c r="D111">
        <f>IF('12-VETO'!B8="","",'12-VETO'!B8)</f>
        <v>0</v>
      </c>
      <c r="E111">
        <f>IF('12-VETO'!C8="","",'12-VETO'!C8)</f>
        <v>9.7000000000000003E-2</v>
      </c>
      <c r="F111">
        <f>IF('12-VETO'!D8="","",'12-VETO'!D8)</f>
        <v>0</v>
      </c>
      <c r="G111" t="str">
        <f>IF('12-VETO'!E8="","",'12-VETO'!E8)</f>
        <v/>
      </c>
      <c r="H111" t="str">
        <f>IF('12-VETO'!F8="","",'12-VETO'!F8)</f>
        <v/>
      </c>
      <c r="I111">
        <f>IF('12-VETO'!G8="","",'12-VETO'!G8)</f>
        <v>0</v>
      </c>
      <c r="J111">
        <v>12</v>
      </c>
      <c r="K111" t="str">
        <f>IF('12-VETO'!I8="","",'12-VETO'!I8)</f>
        <v>CSG-CRDS</v>
      </c>
      <c r="L111">
        <f>IF('12-VETO'!J8="","",'12-VETO'!J8)</f>
        <v>0</v>
      </c>
      <c r="M111">
        <f>IF('12-VETO'!K8="","",'12-VETO'!K8)</f>
        <v>9.7000000000000003E-2</v>
      </c>
      <c r="N111">
        <f>IF('12-VETO'!L8="","",'12-VETO'!L8)</f>
        <v>0</v>
      </c>
      <c r="O111" t="str">
        <f>IF('12-VETO'!M8="","",'12-VETO'!M8)</f>
        <v/>
      </c>
      <c r="P111" t="str">
        <f>IF('12-VETO'!N8="","",'12-VETO'!N8)</f>
        <v/>
      </c>
      <c r="Q111">
        <f>IF('12-VETO'!O8="","",'12-VETO'!O8)</f>
        <v>0</v>
      </c>
    </row>
    <row r="112" spans="1:18" ht="15">
      <c r="A112">
        <v>13</v>
      </c>
      <c r="B112" t="s">
        <v>168</v>
      </c>
      <c r="C112" t="str">
        <f>IF('13-AGENT D''ASS'!A8="","",'13-AGENT D''ASS'!A8)</f>
        <v>CSG-CRDS</v>
      </c>
      <c r="D112">
        <f>IF('13-AGENT D''ASS'!B8="","",'13-AGENT D''ASS'!B8)</f>
        <v>0</v>
      </c>
      <c r="E112">
        <f>IF('13-AGENT D''ASS'!C8="","",'13-AGENT D''ASS'!C8)</f>
        <v>9.7000000000000003E-2</v>
      </c>
      <c r="F112">
        <f>IF('13-AGENT D''ASS'!D8="","",'13-AGENT D''ASS'!D8)</f>
        <v>0</v>
      </c>
      <c r="G112" t="str">
        <f>IF('13-AGENT D''ASS'!E8="","",'13-AGENT D''ASS'!E8)</f>
        <v/>
      </c>
      <c r="H112" t="str">
        <f>IF('13-AGENT D''ASS'!F8="","",'13-AGENT D''ASS'!F8)</f>
        <v/>
      </c>
      <c r="I112">
        <f>IF('13-AGENT D''ASS'!G8="","",'13-AGENT D''ASS'!G8)</f>
        <v>0</v>
      </c>
      <c r="J112">
        <v>13</v>
      </c>
      <c r="K112" t="str">
        <f>IF('13-AGENT D''ASS'!I8="","",'13-AGENT D''ASS'!I8)</f>
        <v>CSG-CRDS</v>
      </c>
      <c r="L112">
        <f>IF('13-AGENT D''ASS'!J8="","",'13-AGENT D''ASS'!J8)</f>
        <v>0</v>
      </c>
      <c r="M112">
        <f>IF('13-AGENT D''ASS'!K8="","",'13-AGENT D''ASS'!K8)</f>
        <v>9.7000000000000003E-2</v>
      </c>
      <c r="N112">
        <f>IF('13-AGENT D''ASS'!L8="","",'13-AGENT D''ASS'!L8)</f>
        <v>0</v>
      </c>
      <c r="O112" t="str">
        <f>IF('13-AGENT D''ASS'!M8="","",'13-AGENT D''ASS'!M8)</f>
        <v/>
      </c>
      <c r="P112" t="str">
        <f>IF('13-AGENT D''ASS'!N8="","",'13-AGENT D''ASS'!N8)</f>
        <v/>
      </c>
      <c r="Q112">
        <f>IF('13-AGENT D''ASS'!O8="","",'13-AGENT D''ASS'!O8)</f>
        <v>0</v>
      </c>
    </row>
    <row r="113" spans="1:18" ht="15">
      <c r="A113">
        <v>14</v>
      </c>
      <c r="B113" t="s">
        <v>169</v>
      </c>
      <c r="C113" t="str">
        <f>IF('14-Avocats'!A8="","",'14-Avocats'!A8)</f>
        <v>CSG-CRDS</v>
      </c>
      <c r="D113">
        <f>IF('14-Avocats'!B8="","",'14-Avocats'!B8)</f>
        <v>0</v>
      </c>
      <c r="E113">
        <f>IF('14-Avocats'!C8="","",'14-Avocats'!C8)</f>
        <v>9.7000000000000003E-2</v>
      </c>
      <c r="F113">
        <f>IF('14-Avocats'!D8="","",'14-Avocats'!D8)</f>
        <v>0</v>
      </c>
      <c r="G113" t="str">
        <f>IF('14-Avocats'!E8="","",'14-Avocats'!E8)</f>
        <v/>
      </c>
      <c r="H113" t="str">
        <f>IF('14-Avocats'!F8="","",'14-Avocats'!F8)</f>
        <v/>
      </c>
      <c r="I113">
        <f>IF('14-Avocats'!G8="","",'14-Avocats'!G8)</f>
        <v>0</v>
      </c>
      <c r="J113">
        <v>14</v>
      </c>
      <c r="K113" t="str">
        <f>IF('14-Avocats'!I8="","",'14-Avocats'!I8)</f>
        <v>CSG-CRDS</v>
      </c>
      <c r="L113">
        <f>IF('14-Avocats'!J8="","",'14-Avocats'!J8)</f>
        <v>0</v>
      </c>
      <c r="M113">
        <f>IF('14-Avocats'!K8="","",'14-Avocats'!K8)</f>
        <v>9.7000000000000003E-2</v>
      </c>
      <c r="N113">
        <f>IF('14-Avocats'!L8="","",'14-Avocats'!L8)</f>
        <v>0</v>
      </c>
      <c r="O113" t="str">
        <f>IF('14-Avocats'!M8="","",'14-Avocats'!M8)</f>
        <v/>
      </c>
      <c r="P113" t="str">
        <f>IF('14-Avocats'!N8="","",'14-Avocats'!N8)</f>
        <v/>
      </c>
      <c r="Q113">
        <f>IF('14-Avocats'!O8="","",'14-Avocats'!O8)</f>
        <v>0</v>
      </c>
    </row>
    <row r="114" spans="1:18" ht="15">
      <c r="A114">
        <v>15</v>
      </c>
      <c r="B114" t="s">
        <v>203</v>
      </c>
      <c r="C114" t="str">
        <f>IF('15-PODO'!A8="","",'15-PODO'!A8)</f>
        <v>URPS</v>
      </c>
      <c r="D114">
        <f>IF('15-PODO'!B8="","",'15-PODO'!B8)</f>
        <v>0</v>
      </c>
      <c r="E114">
        <f>IF('15-PODO'!C8="","",'15-PODO'!C8)</f>
        <v>1E-3</v>
      </c>
      <c r="F114">
        <f>IF('15-PODO'!D8="","",'15-PODO'!D8)</f>
        <v>0</v>
      </c>
      <c r="G114" t="str">
        <f>IF('15-PODO'!E8="","",'15-PODO'!E8)</f>
        <v/>
      </c>
      <c r="H114" t="str">
        <f>IF('15-PODO'!F8="","",'15-PODO'!F8)</f>
        <v/>
      </c>
      <c r="I114">
        <f>IF('15-PODO'!G8="","",'15-PODO'!G8)</f>
        <v>0</v>
      </c>
      <c r="J114">
        <v>15</v>
      </c>
      <c r="K114" t="str">
        <f>IF('15-PODO'!I8="","",'15-PODO'!I8)</f>
        <v>URPS</v>
      </c>
      <c r="L114">
        <f>IF('15-PODO'!J8="","",'15-PODO'!J8)</f>
        <v>0</v>
      </c>
      <c r="M114">
        <f>IF('15-PODO'!K8="","",'15-PODO'!K8)</f>
        <v>1E-3</v>
      </c>
      <c r="N114">
        <f>IF('15-PODO'!L8="","",'15-PODO'!L8)</f>
        <v>0</v>
      </c>
      <c r="O114" t="str">
        <f>IF('15-PODO'!M8="","",'15-PODO'!M8)</f>
        <v/>
      </c>
      <c r="P114" t="str">
        <f>IF('15-PODO'!N8="","",'15-PODO'!N8)</f>
        <v/>
      </c>
      <c r="Q114">
        <f>IF('15-PODO'!O8="","",'15-PODO'!O8)</f>
        <v>0</v>
      </c>
    </row>
    <row r="115" spans="1:18">
      <c r="B115" s="18" t="str">
        <f>B99</f>
        <v>LIGNE 5 : A8</v>
      </c>
      <c r="C115" s="18" t="e">
        <f>VLOOKUP($A$45,$A$100:$I$114,3,FALSE)</f>
        <v>#N/A</v>
      </c>
      <c r="D115" s="64" t="e">
        <f>VLOOKUP($A$27,$A$100:$I$114,4,FALSE)</f>
        <v>#N/A</v>
      </c>
      <c r="E115" s="46" t="e">
        <f>VLOOKUP($A$27,$A$100:$I$114,5,FALSE)</f>
        <v>#N/A</v>
      </c>
      <c r="F115" s="65" t="e">
        <f>VLOOKUP($A$27,$A$100:$I$114,6,FALSE)</f>
        <v>#N/A</v>
      </c>
      <c r="G115" s="46" t="e">
        <f>VLOOKUP($A$27,$A$100:$I$114,7,FALSE)</f>
        <v>#N/A</v>
      </c>
      <c r="H115" s="65" t="e">
        <f>VLOOKUP($A$27,$A$100:$I$114,8,FALSE)</f>
        <v>#N/A</v>
      </c>
      <c r="I115" s="65" t="e">
        <f>VLOOKUP($A$27,$A$100:$I$114,9,FALSE)</f>
        <v>#N/A</v>
      </c>
      <c r="J115" s="66" t="e">
        <f>IF(LEFT(C115,5)="TOTAL",1,0)</f>
        <v>#N/A</v>
      </c>
      <c r="K115" s="18" t="e">
        <f>VLOOKUP($A$27,$J$100:$Q$114,2,FALSE)</f>
        <v>#N/A</v>
      </c>
      <c r="L115" s="18" t="e">
        <f>VLOOKUP($A$27,$J$100:$Q$114,3,FALSE)</f>
        <v>#N/A</v>
      </c>
      <c r="M115" s="18" t="e">
        <f>VLOOKUP($A$27,$J$100:$Q$114,4,FALSE)</f>
        <v>#N/A</v>
      </c>
      <c r="N115" s="18" t="e">
        <f>VLOOKUP($A$27,$J$100:$Q$114,5,FALSE)</f>
        <v>#N/A</v>
      </c>
      <c r="O115" s="18" t="e">
        <f>VLOOKUP($A$27,$J$100:$Q$114,6,FALSE)</f>
        <v>#N/A</v>
      </c>
      <c r="P115" s="18" t="e">
        <f>VLOOKUP($A$27,$J$100:$Q$114,7,FALSE)</f>
        <v>#N/A</v>
      </c>
      <c r="Q115" s="18" t="e">
        <f>VLOOKUP($A$27,$J$100:$Q$114,8,FALSE)</f>
        <v>#N/A</v>
      </c>
      <c r="R115" s="66" t="e">
        <f>IF(LEFT(K115,5)="TOTAL",1,0)</f>
        <v>#N/A</v>
      </c>
    </row>
    <row r="117" spans="1:18">
      <c r="A117">
        <f>CAS</f>
        <v>0</v>
      </c>
      <c r="B117" t="s">
        <v>140</v>
      </c>
      <c r="D117" s="8" t="s">
        <v>19</v>
      </c>
      <c r="E117" s="8" t="s">
        <v>60</v>
      </c>
      <c r="F117" s="8" t="s">
        <v>61</v>
      </c>
      <c r="G117" s="8" t="s">
        <v>66</v>
      </c>
      <c r="H117" s="8" t="s">
        <v>64</v>
      </c>
      <c r="I117" s="8" t="s">
        <v>65</v>
      </c>
    </row>
    <row r="118" spans="1:18" ht="15">
      <c r="A118">
        <v>1</v>
      </c>
      <c r="B118" t="s">
        <v>106</v>
      </c>
      <c r="C118" t="str">
        <f>IF('1-ARTISAN'!A9="","",'1-ARTISAN'!A9)</f>
        <v>Retraite complément. - Tr 1</v>
      </c>
      <c r="D118">
        <f>IF('1-ARTISAN'!B9="","",'1-ARTISAN'!B9)</f>
        <v>0</v>
      </c>
      <c r="E118">
        <f>IF('1-ARTISAN'!C9="","",'1-ARTISAN'!C9)</f>
        <v>7.0000000000000007E-2</v>
      </c>
      <c r="F118">
        <f>IF('1-ARTISAN'!D9="","",'1-ARTISAN'!D9)</f>
        <v>0</v>
      </c>
      <c r="G118" t="str">
        <f>IF('1-ARTISAN'!E9="","",'1-ARTISAN'!E9)</f>
        <v/>
      </c>
      <c r="H118" t="str">
        <f>IF('1-ARTISAN'!F9="","",'1-ARTISAN'!F9)</f>
        <v/>
      </c>
      <c r="I118">
        <f>IF('1-ARTISAN'!G9="","",'1-ARTISAN'!G9)</f>
        <v>0</v>
      </c>
      <c r="J118">
        <v>1</v>
      </c>
      <c r="K118" t="str">
        <f>IF('1-ARTISAN'!I9="","",'1-ARTISAN'!I9)</f>
        <v>Retraite complément. - Tr 1</v>
      </c>
      <c r="L118">
        <f>IF('1-ARTISAN'!J9="","",'1-ARTISAN'!J9)</f>
        <v>0</v>
      </c>
      <c r="M118">
        <f>IF('1-ARTISAN'!K9="","",'1-ARTISAN'!K9)</f>
        <v>7.0000000000000007E-2</v>
      </c>
      <c r="N118">
        <f>IF('1-ARTISAN'!L9="","",'1-ARTISAN'!L9)</f>
        <v>0</v>
      </c>
      <c r="O118" t="str">
        <f>IF('1-ARTISAN'!M9="","",'1-ARTISAN'!M9)</f>
        <v/>
      </c>
      <c r="P118" t="str">
        <f>IF('1-ARTISAN'!N9="","",'1-ARTISAN'!N9)</f>
        <v/>
      </c>
      <c r="Q118">
        <f>IF('1-ARTISAN'!O9="","",'1-ARTISAN'!O9)</f>
        <v>0</v>
      </c>
    </row>
    <row r="119" spans="1:18" ht="15">
      <c r="A119">
        <v>2</v>
      </c>
      <c r="B119" t="s">
        <v>107</v>
      </c>
      <c r="C119" t="str">
        <f>IF('2-ARTISTES'!A9="","",'2-ARTISTES'!A9)</f>
        <v>IRCEC</v>
      </c>
      <c r="D119">
        <f>IF('2-ARTISTES'!B9="","",'2-ARTISTES'!B9)</f>
        <v>0</v>
      </c>
      <c r="E119">
        <f>IF('2-ARTISTES'!C9="","",'2-ARTISTES'!C9)</f>
        <v>0.08</v>
      </c>
      <c r="F119">
        <f>IF('2-ARTISTES'!D9="","",'2-ARTISTES'!D9)</f>
        <v>0</v>
      </c>
      <c r="G119" t="str">
        <f>IF('2-ARTISTES'!E9="","",'2-ARTISTES'!E9)</f>
        <v/>
      </c>
      <c r="H119" t="str">
        <f>IF('2-ARTISTES'!F9="","",'2-ARTISTES'!F9)</f>
        <v/>
      </c>
      <c r="I119">
        <f>IF('2-ARTISTES'!G9="","",'2-ARTISTES'!G9)</f>
        <v>0</v>
      </c>
      <c r="J119">
        <v>2</v>
      </c>
      <c r="K119" t="str">
        <f>IF('2-ARTISTES'!I9="","",'2-ARTISTES'!I9)</f>
        <v>IRCEC</v>
      </c>
      <c r="L119">
        <f>IF('2-ARTISTES'!J9="","",'2-ARTISTES'!J9)</f>
        <v>0</v>
      </c>
      <c r="M119">
        <f>IF('2-ARTISTES'!K9="","",'2-ARTISTES'!K9)</f>
        <v>0.08</v>
      </c>
      <c r="N119">
        <f>IF('2-ARTISTES'!L9="","",'2-ARTISTES'!L9)</f>
        <v>0</v>
      </c>
      <c r="O119" t="str">
        <f>IF('2-ARTISTES'!M9="","",'2-ARTISTES'!M9)</f>
        <v/>
      </c>
      <c r="P119" t="str">
        <f>IF('2-ARTISTES'!N9="","",'2-ARTISTES'!N9)</f>
        <v/>
      </c>
      <c r="Q119">
        <f>IF('2-ARTISTES'!O9="","",'2-ARTISTES'!O9)</f>
        <v>0</v>
      </c>
    </row>
    <row r="120" spans="1:18" ht="15">
      <c r="A120">
        <v>3</v>
      </c>
      <c r="B120" t="s">
        <v>108</v>
      </c>
      <c r="C120" t="str">
        <f>IF('3-Chir_dent'!A9="","",'3-Chir_dent'!A9)</f>
        <v>URPS</v>
      </c>
      <c r="D120">
        <f>IF('3-Chir_dent'!B9="","",'3-Chir_dent'!B9)</f>
        <v>0</v>
      </c>
      <c r="E120">
        <f>IF('3-Chir_dent'!C9="","",'3-Chir_dent'!C9)</f>
        <v>3.0000000000000001E-3</v>
      </c>
      <c r="F120">
        <f>IF('3-Chir_dent'!D9="","",'3-Chir_dent'!D9)</f>
        <v>0</v>
      </c>
      <c r="G120" t="str">
        <f>IF('3-Chir_dent'!E9="","",'3-Chir_dent'!E9)</f>
        <v/>
      </c>
      <c r="H120" t="str">
        <f>IF('3-Chir_dent'!F9="","",'3-Chir_dent'!F9)</f>
        <v/>
      </c>
      <c r="I120">
        <f>IF('3-Chir_dent'!G9="","",'3-Chir_dent'!G9)</f>
        <v>0</v>
      </c>
      <c r="J120">
        <v>3</v>
      </c>
      <c r="K120" t="str">
        <f>IF('3-Chir_dent'!I9="","",'3-Chir_dent'!I9)</f>
        <v>URPS</v>
      </c>
      <c r="L120">
        <f>IF('3-Chir_dent'!J9="","",'3-Chir_dent'!J9)</f>
        <v>0</v>
      </c>
      <c r="M120">
        <f>IF('3-Chir_dent'!K9="","",'3-Chir_dent'!K9)</f>
        <v>3.0000000000000001E-3</v>
      </c>
      <c r="N120">
        <f>IF('3-Chir_dent'!L9="","",'3-Chir_dent'!L9)</f>
        <v>0</v>
      </c>
      <c r="O120" t="str">
        <f>IF('3-Chir_dent'!M9="","",'3-Chir_dent'!M9)</f>
        <v/>
      </c>
      <c r="P120" t="str">
        <f>IF('3-Chir_dent'!N9="","",'3-Chir_dent'!N9)</f>
        <v/>
      </c>
      <c r="Q120">
        <f>IF('3-Chir_dent'!O9="","",'3-Chir_dent'!O9)</f>
        <v>0</v>
      </c>
    </row>
    <row r="121" spans="1:18" ht="15">
      <c r="A121">
        <v>4</v>
      </c>
      <c r="B121" t="s">
        <v>109</v>
      </c>
      <c r="C121" t="str">
        <f>IF('4-COMMERCANT'!A9="","",'4-COMMERCANT'!A9)</f>
        <v>Retraite complément. - Tr 1</v>
      </c>
      <c r="D121">
        <f>IF('4-COMMERCANT'!B9="","",'4-COMMERCANT'!B9)</f>
        <v>0</v>
      </c>
      <c r="E121">
        <f>IF('4-COMMERCANT'!C9="","",'4-COMMERCANT'!C9)</f>
        <v>7.0000000000000007E-2</v>
      </c>
      <c r="F121">
        <f>IF('4-COMMERCANT'!D9="","",'4-COMMERCANT'!D9)</f>
        <v>0</v>
      </c>
      <c r="G121" t="str">
        <f>IF('4-COMMERCANT'!E9="","",'4-COMMERCANT'!E9)</f>
        <v/>
      </c>
      <c r="H121" t="str">
        <f>IF('4-COMMERCANT'!F9="","",'4-COMMERCANT'!F9)</f>
        <v/>
      </c>
      <c r="I121">
        <f>IF('4-COMMERCANT'!G9="","",'4-COMMERCANT'!G9)</f>
        <v>0</v>
      </c>
      <c r="J121">
        <v>4</v>
      </c>
      <c r="K121" t="str">
        <f>IF('4-COMMERCANT'!I9="","",'4-COMMERCANT'!I9)</f>
        <v>Retraite complément. - Tr 1</v>
      </c>
      <c r="L121">
        <f>IF('4-COMMERCANT'!J9="","",'4-COMMERCANT'!J9)</f>
        <v>0</v>
      </c>
      <c r="M121">
        <f>IF('4-COMMERCANT'!K9="","",'4-COMMERCANT'!K9)</f>
        <v>7.0000000000000007E-2</v>
      </c>
      <c r="N121">
        <f>IF('4-COMMERCANT'!L9="","",'4-COMMERCANT'!L9)</f>
        <v>0</v>
      </c>
      <c r="O121" t="str">
        <f>IF('4-COMMERCANT'!M9="","",'4-COMMERCANT'!M9)</f>
        <v/>
      </c>
      <c r="P121" t="str">
        <f>IF('4-COMMERCANT'!N9="","",'4-COMMERCANT'!N9)</f>
        <v/>
      </c>
      <c r="Q121">
        <f>IF('4-COMMERCANT'!O9="","",'4-COMMERCANT'!O9)</f>
        <v>0</v>
      </c>
    </row>
    <row r="122" spans="1:18" ht="15">
      <c r="A122">
        <v>5</v>
      </c>
      <c r="B122" t="s">
        <v>110</v>
      </c>
      <c r="C122" t="str">
        <f>IF('5-EC_CAC'!A9="","",'5-EC_CAC'!A9)</f>
        <v>TOTAL URSSAF</v>
      </c>
      <c r="D122" t="str">
        <f>IF('5-EC_CAC'!B9="","",'5-EC_CAC'!B9)</f>
        <v/>
      </c>
      <c r="E122" t="str">
        <f>IF('5-EC_CAC'!C9="","",'5-EC_CAC'!C9)</f>
        <v/>
      </c>
      <c r="F122" t="str">
        <f>IF('5-EC_CAC'!D9="","",'5-EC_CAC'!D9)</f>
        <v/>
      </c>
      <c r="G122" t="str">
        <f>IF('5-EC_CAC'!E9="","",'5-EC_CAC'!E9)</f>
        <v/>
      </c>
      <c r="H122" t="str">
        <f>IF('5-EC_CAC'!F9="","",'5-EC_CAC'!F9)</f>
        <v/>
      </c>
      <c r="I122">
        <f>IF('5-EC_CAC'!G9="","",'5-EC_CAC'!G9)</f>
        <v>172</v>
      </c>
      <c r="J122">
        <v>5</v>
      </c>
      <c r="K122" t="str">
        <f>IF('5-EC_CAC'!I9="","",'5-EC_CAC'!I9)</f>
        <v>TOTAL URSSAF</v>
      </c>
      <c r="L122" t="str">
        <f>IF('5-EC_CAC'!J9="","",'5-EC_CAC'!J9)</f>
        <v/>
      </c>
      <c r="M122" t="str">
        <f>IF('5-EC_CAC'!K9="","",'5-EC_CAC'!K9)</f>
        <v/>
      </c>
      <c r="N122" t="str">
        <f>IF('5-EC_CAC'!L9="","",'5-EC_CAC'!L9)</f>
        <v/>
      </c>
      <c r="O122" t="str">
        <f>IF('5-EC_CAC'!M9="","",'5-EC_CAC'!M9)</f>
        <v/>
      </c>
      <c r="P122" t="str">
        <f>IF('5-EC_CAC'!N9="","",'5-EC_CAC'!N9)</f>
        <v/>
      </c>
      <c r="Q122">
        <f>IF('5-EC_CAC'!O9="","",'5-EC_CAC'!O9)</f>
        <v>172</v>
      </c>
    </row>
    <row r="123" spans="1:18" ht="15">
      <c r="A123">
        <v>6</v>
      </c>
      <c r="B123" t="s">
        <v>111</v>
      </c>
      <c r="C123" t="str">
        <f>IF('6-MédS1'!A9="","",'6-MédS1'!A9)</f>
        <v>URPS</v>
      </c>
      <c r="D123">
        <f>IF('6-MédS1'!B9="","",'6-MédS1'!B9)</f>
        <v>0</v>
      </c>
      <c r="E123">
        <f>IF('6-MédS1'!C9="","",'6-MédS1'!C9)</f>
        <v>5.0000000000000001E-3</v>
      </c>
      <c r="F123">
        <f>IF('6-MédS1'!D9="","",'6-MédS1'!D9)</f>
        <v>0</v>
      </c>
      <c r="G123" t="str">
        <f>IF('6-MédS1'!E9="","",'6-MédS1'!E9)</f>
        <v/>
      </c>
      <c r="H123" t="str">
        <f>IF('6-MédS1'!F9="","",'6-MédS1'!F9)</f>
        <v/>
      </c>
      <c r="I123">
        <f>IF('6-MédS1'!G9="","",'6-MédS1'!G9)</f>
        <v>0</v>
      </c>
      <c r="J123">
        <v>6</v>
      </c>
      <c r="K123" t="str">
        <f>IF('6-MédS1'!I9="","",'6-MédS1'!I9)</f>
        <v>URPS</v>
      </c>
      <c r="L123">
        <f>IF('6-MédS1'!J9="","",'6-MédS1'!J9)</f>
        <v>0</v>
      </c>
      <c r="M123">
        <f>IF('6-MédS1'!K9="","",'6-MédS1'!K9)</f>
        <v>5.0000000000000001E-3</v>
      </c>
      <c r="N123">
        <f>IF('6-MédS1'!L9="","",'6-MédS1'!L9)</f>
        <v>0</v>
      </c>
      <c r="O123" t="str">
        <f>IF('6-MédS1'!M9="","",'6-MédS1'!M9)</f>
        <v/>
      </c>
      <c r="P123" t="str">
        <f>IF('6-MédS1'!N9="","",'6-MédS1'!N9)</f>
        <v/>
      </c>
      <c r="Q123">
        <f>IF('6-MédS1'!O9="","",'6-MédS1'!O9)</f>
        <v>0</v>
      </c>
    </row>
    <row r="124" spans="1:18" ht="15">
      <c r="A124">
        <v>7</v>
      </c>
      <c r="B124" t="s">
        <v>112</v>
      </c>
      <c r="C124" t="str">
        <f>IF('7-MédS2'!A9="","",'7-MédS2'!A9)</f>
        <v>URPS</v>
      </c>
      <c r="D124">
        <f>IF('7-MédS2'!B9="","",'7-MédS2'!B9)</f>
        <v>0</v>
      </c>
      <c r="E124">
        <f>IF('7-MédS2'!C9="","",'7-MédS2'!C9)</f>
        <v>5.0000000000000001E-3</v>
      </c>
      <c r="F124">
        <f>IF('7-MédS2'!D9="","",'7-MédS2'!D9)</f>
        <v>0</v>
      </c>
      <c r="G124" t="str">
        <f>IF('7-MédS2'!E9="","",'7-MédS2'!E9)</f>
        <v/>
      </c>
      <c r="H124" t="str">
        <f>IF('7-MédS2'!F9="","",'7-MédS2'!F9)</f>
        <v/>
      </c>
      <c r="I124">
        <f>IF('7-MédS2'!G9="","",'7-MédS2'!G9)</f>
        <v>0</v>
      </c>
      <c r="J124">
        <v>7</v>
      </c>
      <c r="K124" t="str">
        <f>IF('7-MédS2'!I9="","",'7-MédS2'!I9)</f>
        <v>URPS</v>
      </c>
      <c r="L124">
        <f>IF('7-MédS2'!J9="","",'7-MédS2'!J9)</f>
        <v>0</v>
      </c>
      <c r="M124">
        <f>IF('7-MédS2'!K9="","",'7-MédS2'!K9)</f>
        <v>5.0000000000000001E-3</v>
      </c>
      <c r="N124">
        <f>IF('7-MédS2'!L9="","",'7-MédS2'!L9)</f>
        <v>0</v>
      </c>
      <c r="O124" t="str">
        <f>IF('7-MédS2'!M9="","",'7-MédS2'!M9)</f>
        <v/>
      </c>
      <c r="P124" t="str">
        <f>IF('7-MédS2'!N9="","",'7-MédS2'!N9)</f>
        <v/>
      </c>
      <c r="Q124">
        <f>IF('7-MédS2'!O9="","",'7-MédS2'!O9)</f>
        <v>0</v>
      </c>
    </row>
    <row r="125" spans="1:18" ht="15">
      <c r="A125">
        <v>8</v>
      </c>
      <c r="B125" t="s">
        <v>113</v>
      </c>
      <c r="C125" t="str">
        <f>IF('8-PAM'!A9="","",'8-PAM'!A9)</f>
        <v>URPS</v>
      </c>
      <c r="D125">
        <f>IF('8-PAM'!B9="","",'8-PAM'!B9)</f>
        <v>0</v>
      </c>
      <c r="E125">
        <f>IF('8-PAM'!C9="","",'8-PAM'!C9)</f>
        <v>1E-3</v>
      </c>
      <c r="F125">
        <f>IF('8-PAM'!D9="","",'8-PAM'!D9)</f>
        <v>0</v>
      </c>
      <c r="G125" t="str">
        <f>IF('8-PAM'!E9="","",'8-PAM'!E9)</f>
        <v/>
      </c>
      <c r="H125" t="str">
        <f>IF('8-PAM'!F9="","",'8-PAM'!F9)</f>
        <v/>
      </c>
      <c r="I125">
        <f>IF('8-PAM'!G9="","",'8-PAM'!G9)</f>
        <v>0</v>
      </c>
      <c r="J125">
        <v>8</v>
      </c>
      <c r="K125" t="str">
        <f>IF('8-PAM'!I9="","",'8-PAM'!I9)</f>
        <v>URPS</v>
      </c>
      <c r="L125">
        <f>IF('8-PAM'!J9="","",'8-PAM'!J9)</f>
        <v>0</v>
      </c>
      <c r="M125">
        <f>IF('8-PAM'!K9="","",'8-PAM'!K9)</f>
        <v>1E-3</v>
      </c>
      <c r="N125">
        <f>IF('8-PAM'!L9="","",'8-PAM'!L9)</f>
        <v>0</v>
      </c>
      <c r="O125" t="str">
        <f>IF('8-PAM'!M9="","",'8-PAM'!M9)</f>
        <v/>
      </c>
      <c r="P125" t="str">
        <f>IF('8-PAM'!N9="","",'8-PAM'!N9)</f>
        <v/>
      </c>
      <c r="Q125">
        <f>IF('8-PAM'!O9="","",'8-PAM'!O9)</f>
        <v>0</v>
      </c>
    </row>
    <row r="126" spans="1:18" ht="15">
      <c r="A126">
        <v>9</v>
      </c>
      <c r="B126" t="s">
        <v>114</v>
      </c>
      <c r="C126" t="str">
        <f>IF('9-CIPAV'!A9="","",'9-CIPAV'!A9)</f>
        <v>TOTAL URSSAF</v>
      </c>
      <c r="D126" t="str">
        <f>IF('9-CIPAV'!B9="","",'9-CIPAV'!B9)</f>
        <v/>
      </c>
      <c r="E126" t="str">
        <f>IF('9-CIPAV'!C9="","",'9-CIPAV'!C9)</f>
        <v/>
      </c>
      <c r="F126" t="str">
        <f>IF('9-CIPAV'!D9="","",'9-CIPAV'!D9)</f>
        <v/>
      </c>
      <c r="G126" t="str">
        <f>IF('9-CIPAV'!E9="","",'9-CIPAV'!E9)</f>
        <v/>
      </c>
      <c r="H126" t="str">
        <f>IF('9-CIPAV'!F9="","",'9-CIPAV'!F9)</f>
        <v/>
      </c>
      <c r="I126">
        <f>IF('9-CIPAV'!G9="","",'9-CIPAV'!G9)</f>
        <v>172</v>
      </c>
      <c r="J126">
        <v>9</v>
      </c>
      <c r="K126" t="str">
        <f>IF('9-CIPAV'!I9="","",'9-CIPAV'!I9)</f>
        <v>TOTAL URSSAF</v>
      </c>
      <c r="L126" t="str">
        <f>IF('9-CIPAV'!J9="","",'9-CIPAV'!J9)</f>
        <v/>
      </c>
      <c r="M126" t="str">
        <f>IF('9-CIPAV'!K9="","",'9-CIPAV'!K9)</f>
        <v/>
      </c>
      <c r="N126" t="str">
        <f>IF('9-CIPAV'!L9="","",'9-CIPAV'!L9)</f>
        <v/>
      </c>
      <c r="O126" t="str">
        <f>IF('9-CIPAV'!M9="","",'9-CIPAV'!M9)</f>
        <v/>
      </c>
      <c r="P126" t="str">
        <f>IF('9-CIPAV'!N9="","",'9-CIPAV'!N9)</f>
        <v/>
      </c>
      <c r="Q126">
        <f>IF('9-CIPAV'!O9="","",'9-CIPAV'!O9)</f>
        <v>172</v>
      </c>
    </row>
    <row r="127" spans="1:18" ht="15">
      <c r="A127">
        <v>10</v>
      </c>
      <c r="B127" t="s">
        <v>115</v>
      </c>
      <c r="C127" t="str">
        <f>IF('10-BNC-SSI'!A9="","",'10-BNC-SSI'!A9)</f>
        <v>Retraite complément.</v>
      </c>
      <c r="D127">
        <f>IF('10-BNC-SSI'!B9="","",'10-BNC-SSI'!B9)</f>
        <v>0</v>
      </c>
      <c r="E127">
        <f>IF('10-BNC-SSI'!C9="","",'10-BNC-SSI'!C9)</f>
        <v>0.14000000000000001</v>
      </c>
      <c r="F127">
        <f>IF('10-BNC-SSI'!D9="","",'10-BNC-SSI'!D9)</f>
        <v>0</v>
      </c>
      <c r="G127" t="str">
        <f>IF('10-BNC-SSI'!E9="","",'10-BNC-SSI'!E9)</f>
        <v/>
      </c>
      <c r="H127" t="str">
        <f>IF('10-BNC-SSI'!F9="","",'10-BNC-SSI'!F9)</f>
        <v/>
      </c>
      <c r="I127">
        <f>IF('10-BNC-SSI'!G9="","",'10-BNC-SSI'!G9)</f>
        <v>0</v>
      </c>
      <c r="J127">
        <v>10</v>
      </c>
      <c r="K127" t="str">
        <f>IF('10-BNC-SSI'!I9="","",'10-BNC-SSI'!I9)</f>
        <v>Retraite complément.</v>
      </c>
      <c r="L127">
        <f>IF('10-BNC-SSI'!J9="","",'10-BNC-SSI'!J9)</f>
        <v>0</v>
      </c>
      <c r="M127">
        <f>IF('10-BNC-SSI'!K9="","",'10-BNC-SSI'!K9)</f>
        <v>0.14000000000000001</v>
      </c>
      <c r="N127">
        <f>IF('10-BNC-SSI'!L9="","",'10-BNC-SSI'!L9)</f>
        <v>0</v>
      </c>
      <c r="O127" t="str">
        <f>IF('10-BNC-SSI'!M9="","",'10-BNC-SSI'!M9)</f>
        <v/>
      </c>
      <c r="P127" t="str">
        <f>IF('10-BNC-SSI'!N9="","",'10-BNC-SSI'!N9)</f>
        <v/>
      </c>
      <c r="Q127">
        <f>IF('10-BNC-SSI'!O9="","",'10-BNC-SSI'!O9)</f>
        <v>0</v>
      </c>
    </row>
    <row r="128" spans="1:18" ht="15">
      <c r="A128">
        <v>11</v>
      </c>
      <c r="B128" t="s">
        <v>116</v>
      </c>
      <c r="C128" t="str">
        <f>IF('11-SF'!A9="","",'11-SF'!A9)</f>
        <v>URPS</v>
      </c>
      <c r="D128">
        <f>IF('11-SF'!B9="","",'11-SF'!B9)</f>
        <v>0</v>
      </c>
      <c r="E128">
        <f>IF('11-SF'!C9="","",'11-SF'!C9)</f>
        <v>1E-3</v>
      </c>
      <c r="F128">
        <f>IF('11-SF'!D9="","",'11-SF'!D9)</f>
        <v>0</v>
      </c>
      <c r="G128" t="str">
        <f>IF('11-SF'!E9="","",'11-SF'!E9)</f>
        <v/>
      </c>
      <c r="H128" t="str">
        <f>IF('11-SF'!F9="","",'11-SF'!F9)</f>
        <v/>
      </c>
      <c r="I128">
        <f>IF('11-SF'!G9="","",'11-SF'!G9)</f>
        <v>0</v>
      </c>
      <c r="J128">
        <v>11</v>
      </c>
      <c r="K128" t="str">
        <f>IF('11-SF'!I9="","",'11-SF'!I9)</f>
        <v>URPS</v>
      </c>
      <c r="L128">
        <f>IF('11-SF'!J9="","",'11-SF'!J9)</f>
        <v>0</v>
      </c>
      <c r="M128">
        <f>IF('11-SF'!K9="","",'11-SF'!K9)</f>
        <v>1E-3</v>
      </c>
      <c r="N128">
        <f>IF('11-SF'!L9="","",'11-SF'!L9)</f>
        <v>0</v>
      </c>
      <c r="O128" t="str">
        <f>IF('11-SF'!M9="","",'11-SF'!M9)</f>
        <v/>
      </c>
      <c r="P128" t="str">
        <f>IF('11-SF'!N9="","",'11-SF'!N9)</f>
        <v/>
      </c>
      <c r="Q128">
        <f>IF('11-SF'!O9="","",'11-SF'!O9)</f>
        <v>0</v>
      </c>
    </row>
    <row r="129" spans="1:18" ht="15">
      <c r="A129">
        <v>12</v>
      </c>
      <c r="B129" t="s">
        <v>117</v>
      </c>
      <c r="C129" t="str">
        <f>IF('12-VETO'!A9="","",'12-VETO'!A9)</f>
        <v>TOTAL URSSAF</v>
      </c>
      <c r="D129" t="str">
        <f>IF('12-VETO'!B9="","",'12-VETO'!B9)</f>
        <v/>
      </c>
      <c r="E129" t="str">
        <f>IF('12-VETO'!C9="","",'12-VETO'!C9)</f>
        <v/>
      </c>
      <c r="F129" t="str">
        <f>IF('12-VETO'!D9="","",'12-VETO'!D9)</f>
        <v/>
      </c>
      <c r="G129" t="str">
        <f>IF('12-VETO'!E9="","",'12-VETO'!E9)</f>
        <v/>
      </c>
      <c r="H129" t="str">
        <f>IF('12-VETO'!F9="","",'12-VETO'!F9)</f>
        <v/>
      </c>
      <c r="I129">
        <f>IF('12-VETO'!G9="","",'12-VETO'!G9)</f>
        <v>172</v>
      </c>
      <c r="J129">
        <v>12</v>
      </c>
      <c r="K129" t="str">
        <f>IF('12-VETO'!I9="","",'12-VETO'!I9)</f>
        <v>TOTAL URSSAF</v>
      </c>
      <c r="L129" t="str">
        <f>IF('12-VETO'!J9="","",'12-VETO'!J9)</f>
        <v/>
      </c>
      <c r="M129" t="str">
        <f>IF('12-VETO'!K9="","",'12-VETO'!K9)</f>
        <v/>
      </c>
      <c r="N129" t="str">
        <f>IF('12-VETO'!L9="","",'12-VETO'!L9)</f>
        <v/>
      </c>
      <c r="O129" t="str">
        <f>IF('12-VETO'!M9="","",'12-VETO'!M9)</f>
        <v/>
      </c>
      <c r="P129" t="str">
        <f>IF('12-VETO'!N9="","",'12-VETO'!N9)</f>
        <v/>
      </c>
      <c r="Q129">
        <f>IF('12-VETO'!O9="","",'12-VETO'!O9)</f>
        <v>172</v>
      </c>
    </row>
    <row r="130" spans="1:18" ht="15">
      <c r="A130">
        <v>13</v>
      </c>
      <c r="B130" t="s">
        <v>168</v>
      </c>
      <c r="C130" t="str">
        <f>IF('13-AGENT D''ASS'!A9="","",'13-AGENT D''ASS'!A9)</f>
        <v>TOTAL URSSAF</v>
      </c>
      <c r="D130" t="str">
        <f>IF('13-AGENT D''ASS'!B9="","",'13-AGENT D''ASS'!B9)</f>
        <v/>
      </c>
      <c r="E130" t="str">
        <f>IF('13-AGENT D''ASS'!C9="","",'13-AGENT D''ASS'!C9)</f>
        <v/>
      </c>
      <c r="F130" t="str">
        <f>IF('13-AGENT D''ASS'!D9="","",'13-AGENT D''ASS'!D9)</f>
        <v/>
      </c>
      <c r="G130" t="str">
        <f>IF('13-AGENT D''ASS'!E9="","",'13-AGENT D''ASS'!E9)</f>
        <v/>
      </c>
      <c r="H130" t="str">
        <f>IF('13-AGENT D''ASS'!F9="","",'13-AGENT D''ASS'!F9)</f>
        <v/>
      </c>
      <c r="I130">
        <f>IF('13-AGENT D''ASS'!G9="","",'13-AGENT D''ASS'!G9)</f>
        <v>172</v>
      </c>
      <c r="J130">
        <v>13</v>
      </c>
      <c r="K130" t="str">
        <f>IF('13-AGENT D''ASS'!I9="","",'13-AGENT D''ASS'!I9)</f>
        <v>TOTAL URSSAF</v>
      </c>
      <c r="L130" t="str">
        <f>IF('13-AGENT D''ASS'!J9="","",'13-AGENT D''ASS'!J9)</f>
        <v/>
      </c>
      <c r="M130" t="str">
        <f>IF('13-AGENT D''ASS'!K9="","",'13-AGENT D''ASS'!K9)</f>
        <v/>
      </c>
      <c r="N130" t="str">
        <f>IF('13-AGENT D''ASS'!L9="","",'13-AGENT D''ASS'!L9)</f>
        <v/>
      </c>
      <c r="O130" t="str">
        <f>IF('13-AGENT D''ASS'!M9="","",'13-AGENT D''ASS'!M9)</f>
        <v/>
      </c>
      <c r="P130" t="str">
        <f>IF('13-AGENT D''ASS'!N9="","",'13-AGENT D''ASS'!N9)</f>
        <v/>
      </c>
      <c r="Q130">
        <f>IF('13-AGENT D''ASS'!O9="","",'13-AGENT D''ASS'!O9)</f>
        <v>172</v>
      </c>
    </row>
    <row r="131" spans="1:18" ht="15">
      <c r="A131">
        <v>14</v>
      </c>
      <c r="B131" t="s">
        <v>169</v>
      </c>
      <c r="C131" t="str">
        <f>IF('14-Avocats'!A9="","",'14-Avocats'!A9)</f>
        <v>TOTAL URSSAF</v>
      </c>
      <c r="D131" t="str">
        <f>IF('14-Avocats'!B9="","",'14-Avocats'!B9)</f>
        <v/>
      </c>
      <c r="E131" t="str">
        <f>IF('14-Avocats'!C9="","",'14-Avocats'!C9)</f>
        <v/>
      </c>
      <c r="F131" t="str">
        <f>IF('14-Avocats'!D9="","",'14-Avocats'!D9)</f>
        <v/>
      </c>
      <c r="G131" t="str">
        <f>IF('14-Avocats'!E9="","",'14-Avocats'!E9)</f>
        <v/>
      </c>
      <c r="H131" t="str">
        <f>IF('14-Avocats'!F9="","",'14-Avocats'!F9)</f>
        <v/>
      </c>
      <c r="I131">
        <f>IF('14-Avocats'!G9="","",'14-Avocats'!G9)</f>
        <v>172</v>
      </c>
      <c r="J131">
        <v>14</v>
      </c>
      <c r="K131" t="str">
        <f>IF('14-Avocats'!I9="","",'14-Avocats'!I9)</f>
        <v>TOTAL URSSAF</v>
      </c>
      <c r="L131" t="str">
        <f>IF('14-Avocats'!J9="","",'14-Avocats'!J9)</f>
        <v/>
      </c>
      <c r="M131" t="str">
        <f>IF('14-Avocats'!K9="","",'14-Avocats'!K9)</f>
        <v/>
      </c>
      <c r="N131" t="str">
        <f>IF('14-Avocats'!L9="","",'14-Avocats'!L9)</f>
        <v/>
      </c>
      <c r="O131" t="str">
        <f>IF('14-Avocats'!M9="","",'14-Avocats'!M9)</f>
        <v/>
      </c>
      <c r="P131" t="str">
        <f>IF('14-Avocats'!N9="","",'14-Avocats'!N9)</f>
        <v/>
      </c>
      <c r="Q131">
        <f>IF('14-Avocats'!O9="","",'14-Avocats'!O9)</f>
        <v>172</v>
      </c>
    </row>
    <row r="132" spans="1:18" ht="15">
      <c r="A132">
        <v>15</v>
      </c>
      <c r="B132" t="s">
        <v>203</v>
      </c>
      <c r="C132" t="str">
        <f>IF('15-PODO'!A9="","",'15-PODO'!A9)</f>
        <v>CSG-CRDS</v>
      </c>
      <c r="D132">
        <f>IF('15-PODO'!B9="","",'15-PODO'!B9)</f>
        <v>0</v>
      </c>
      <c r="E132">
        <f>IF('15-PODO'!C9="","",'15-PODO'!C9)</f>
        <v>9.7000000000000003E-2</v>
      </c>
      <c r="F132">
        <f>IF('15-PODO'!D9="","",'15-PODO'!D9)</f>
        <v>0</v>
      </c>
      <c r="G132" t="str">
        <f>IF('15-PODO'!E9="","",'15-PODO'!E9)</f>
        <v/>
      </c>
      <c r="H132" t="str">
        <f>IF('15-PODO'!F9="","",'15-PODO'!F9)</f>
        <v/>
      </c>
      <c r="I132">
        <f>IF('15-PODO'!G9="","",'15-PODO'!G9)</f>
        <v>0</v>
      </c>
      <c r="J132">
        <v>15</v>
      </c>
      <c r="K132" t="str">
        <f>IF('15-PODO'!I9="","",'15-PODO'!I9)</f>
        <v>CSG-CRDS</v>
      </c>
      <c r="L132">
        <f>IF('15-PODO'!J9="","",'15-PODO'!J9)</f>
        <v>0</v>
      </c>
      <c r="M132">
        <f>IF('15-PODO'!K9="","",'15-PODO'!K9)</f>
        <v>9.7000000000000003E-2</v>
      </c>
      <c r="N132">
        <f>IF('15-PODO'!L9="","",'15-PODO'!L9)</f>
        <v>0</v>
      </c>
      <c r="O132" t="str">
        <f>IF('15-PODO'!M9="","",'15-PODO'!M9)</f>
        <v/>
      </c>
      <c r="P132" t="str">
        <f>IF('15-PODO'!N9="","",'15-PODO'!N9)</f>
        <v/>
      </c>
      <c r="Q132">
        <f>IF('15-PODO'!O9="","",'15-PODO'!O9)</f>
        <v>0</v>
      </c>
    </row>
    <row r="133" spans="1:18">
      <c r="B133" s="18" t="str">
        <f>B117</f>
        <v>LIGNE 6 : A9</v>
      </c>
      <c r="C133" s="18" t="e">
        <f>VLOOKUP($A$45,$A$118:$I$132,3,FALSE)</f>
        <v>#N/A</v>
      </c>
      <c r="D133" s="64" t="e">
        <f>VLOOKUP($A$27,$A$118:$I$132,4,FALSE)</f>
        <v>#N/A</v>
      </c>
      <c r="E133" s="46" t="e">
        <f>VLOOKUP($A$27,$A$118:$I$132,5,FALSE)</f>
        <v>#N/A</v>
      </c>
      <c r="F133" s="65" t="e">
        <f>VLOOKUP($A$27,$A$118:$I$132,6,FALSE)</f>
        <v>#N/A</v>
      </c>
      <c r="G133" s="46" t="e">
        <f>VLOOKUP($A$27,$A$118:$I$132,7,FALSE)</f>
        <v>#N/A</v>
      </c>
      <c r="H133" s="65" t="e">
        <f>VLOOKUP($A$27,$A$118:$I$132,8,FALSE)</f>
        <v>#N/A</v>
      </c>
      <c r="I133" s="65" t="e">
        <f>VLOOKUP($A$27,$A$118:$I$132,9,FALSE)</f>
        <v>#N/A</v>
      </c>
      <c r="J133" s="66" t="e">
        <f>IF(LEFT(C133,5)="TOTAL",1,0)</f>
        <v>#N/A</v>
      </c>
      <c r="K133" s="18" t="e">
        <f>VLOOKUP($A$27,$J$118:$Q$132,2,FALSE)</f>
        <v>#N/A</v>
      </c>
      <c r="L133" s="18" t="e">
        <f>VLOOKUP($A$27,$J$118:$Q$132,3,FALSE)</f>
        <v>#N/A</v>
      </c>
      <c r="M133" s="18" t="e">
        <f>VLOOKUP($A$27,$J$118:$Q$132,4,FALSE)</f>
        <v>#N/A</v>
      </c>
      <c r="N133" s="18" t="e">
        <f>VLOOKUP($A$27,$J$118:$Q$132,5,FALSE)</f>
        <v>#N/A</v>
      </c>
      <c r="O133" s="18" t="e">
        <f>VLOOKUP($A$27,$J$118:$Q$132,6,FALSE)</f>
        <v>#N/A</v>
      </c>
      <c r="P133" s="18" t="e">
        <f>VLOOKUP($A$27,$J$118:$Q$132,7,FALSE)</f>
        <v>#N/A</v>
      </c>
      <c r="Q133" s="18" t="e">
        <f>VLOOKUP($A$27,$J$118:$Q$132,8,FALSE)</f>
        <v>#N/A</v>
      </c>
      <c r="R133" s="66" t="e">
        <f>IF(LEFT(K133,5)="TOTAL",1,0)</f>
        <v>#N/A</v>
      </c>
    </row>
    <row r="135" spans="1:18">
      <c r="A135">
        <f>CAS</f>
        <v>0</v>
      </c>
      <c r="B135" t="s">
        <v>141</v>
      </c>
      <c r="D135" s="8" t="s">
        <v>19</v>
      </c>
      <c r="E135" s="8" t="s">
        <v>60</v>
      </c>
      <c r="F135" s="8" t="s">
        <v>61</v>
      </c>
      <c r="G135" s="8" t="s">
        <v>66</v>
      </c>
      <c r="H135" s="8" t="s">
        <v>64</v>
      </c>
      <c r="I135" s="8" t="s">
        <v>65</v>
      </c>
    </row>
    <row r="136" spans="1:18" ht="15">
      <c r="A136">
        <v>1</v>
      </c>
      <c r="B136" t="s">
        <v>106</v>
      </c>
      <c r="C136" t="str">
        <f>IF('1-ARTISAN'!A10="","",'1-ARTISAN'!A10)</f>
        <v>Retraite complément. - Tr 2</v>
      </c>
      <c r="D136">
        <f>IF('1-ARTISAN'!B10="","",'1-ARTISAN'!B10)</f>
        <v>0</v>
      </c>
      <c r="E136">
        <f>IF('1-ARTISAN'!C10="","",'1-ARTISAN'!C10)</f>
        <v>0.08</v>
      </c>
      <c r="F136">
        <f>IF('1-ARTISAN'!D10="","",'1-ARTISAN'!D10)</f>
        <v>0</v>
      </c>
      <c r="G136" t="str">
        <f>IF('1-ARTISAN'!E10="","",'1-ARTISAN'!E10)</f>
        <v/>
      </c>
      <c r="H136" t="str">
        <f>IF('1-ARTISAN'!F10="","",'1-ARTISAN'!F10)</f>
        <v/>
      </c>
      <c r="I136">
        <f>IF('1-ARTISAN'!G10="","",'1-ARTISAN'!G10)</f>
        <v>0</v>
      </c>
      <c r="J136">
        <v>1</v>
      </c>
      <c r="K136" t="str">
        <f>IF('1-ARTISAN'!I10="","",'1-ARTISAN'!I10)</f>
        <v>Retraite complément. - Tr 2</v>
      </c>
      <c r="L136">
        <f>IF('1-ARTISAN'!J10="","",'1-ARTISAN'!J10)</f>
        <v>0</v>
      </c>
      <c r="M136">
        <f>IF('1-ARTISAN'!K10="","",'1-ARTISAN'!K10)</f>
        <v>0.08</v>
      </c>
      <c r="N136">
        <f>IF('1-ARTISAN'!L10="","",'1-ARTISAN'!L10)</f>
        <v>0</v>
      </c>
      <c r="O136" t="str">
        <f>IF('1-ARTISAN'!M10="","",'1-ARTISAN'!M10)</f>
        <v/>
      </c>
      <c r="P136" t="str">
        <f>IF('1-ARTISAN'!N10="","",'1-ARTISAN'!N10)</f>
        <v/>
      </c>
      <c r="Q136">
        <f>IF('1-ARTISAN'!O10="","",'1-ARTISAN'!O10)</f>
        <v>0</v>
      </c>
    </row>
    <row r="137" spans="1:18" ht="15">
      <c r="A137">
        <v>2</v>
      </c>
      <c r="B137" t="s">
        <v>107</v>
      </c>
      <c r="C137" t="str">
        <f>IF('2-ARTISTES'!A10="","",'2-ARTISTES'!A10)</f>
        <v>TOTAL IRCEC</v>
      </c>
      <c r="D137" t="str">
        <f>IF('2-ARTISTES'!B10="","",'2-ARTISTES'!B10)</f>
        <v/>
      </c>
      <c r="E137" t="str">
        <f>IF('2-ARTISTES'!C10="","",'2-ARTISTES'!C10)</f>
        <v/>
      </c>
      <c r="F137" t="str">
        <f>IF('2-ARTISTES'!D10="","",'2-ARTISTES'!D10)</f>
        <v/>
      </c>
      <c r="G137" t="str">
        <f>IF('2-ARTISTES'!E10="","",'2-ARTISTES'!E10)</f>
        <v/>
      </c>
      <c r="H137" t="str">
        <f>IF('2-ARTISTES'!F10="","",'2-ARTISTES'!F10)</f>
        <v/>
      </c>
      <c r="I137">
        <f>IF('2-ARTISTES'!G10="","",'2-ARTISTES'!G10)</f>
        <v>0</v>
      </c>
      <c r="J137">
        <v>2</v>
      </c>
      <c r="K137" t="str">
        <f>IF('2-ARTISTES'!I10="","",'2-ARTISTES'!I10)</f>
        <v>TOTAL IRCEC</v>
      </c>
      <c r="L137" t="str">
        <f>IF('2-ARTISTES'!J10="","",'2-ARTISTES'!J10)</f>
        <v/>
      </c>
      <c r="M137" t="str">
        <f>IF('2-ARTISTES'!K10="","",'2-ARTISTES'!K10)</f>
        <v/>
      </c>
      <c r="N137" t="str">
        <f>IF('2-ARTISTES'!L10="","",'2-ARTISTES'!L10)</f>
        <v/>
      </c>
      <c r="O137" t="str">
        <f>IF('2-ARTISTES'!M10="","",'2-ARTISTES'!M10)</f>
        <v/>
      </c>
      <c r="P137" t="str">
        <f>IF('2-ARTISTES'!N10="","",'2-ARTISTES'!N10)</f>
        <v/>
      </c>
      <c r="Q137">
        <f>IF('2-ARTISTES'!O10="","",'2-ARTISTES'!O10)</f>
        <v>0</v>
      </c>
    </row>
    <row r="138" spans="1:18" ht="15">
      <c r="A138">
        <v>3</v>
      </c>
      <c r="B138" t="s">
        <v>108</v>
      </c>
      <c r="C138" t="str">
        <f>IF('3-Chir_dent'!A10="","",'3-Chir_dent'!A10)</f>
        <v>CSG-CRDS</v>
      </c>
      <c r="D138">
        <f>IF('3-Chir_dent'!B10="","",'3-Chir_dent'!B10)</f>
        <v>0</v>
      </c>
      <c r="E138">
        <f>IF('3-Chir_dent'!C10="","",'3-Chir_dent'!C10)</f>
        <v>9.7000000000000003E-2</v>
      </c>
      <c r="F138">
        <f>IF('3-Chir_dent'!D10="","",'3-Chir_dent'!D10)</f>
        <v>0</v>
      </c>
      <c r="G138" t="str">
        <f>IF('3-Chir_dent'!E10="","",'3-Chir_dent'!E10)</f>
        <v/>
      </c>
      <c r="H138" t="str">
        <f>IF('3-Chir_dent'!F10="","",'3-Chir_dent'!F10)</f>
        <v/>
      </c>
      <c r="I138">
        <f>IF('3-Chir_dent'!G10="","",'3-Chir_dent'!G10)</f>
        <v>0</v>
      </c>
      <c r="J138">
        <v>3</v>
      </c>
      <c r="K138" t="str">
        <f>IF('3-Chir_dent'!I10="","",'3-Chir_dent'!I10)</f>
        <v>CSG-CRDS</v>
      </c>
      <c r="L138">
        <f>IF('3-Chir_dent'!J10="","",'3-Chir_dent'!J10)</f>
        <v>0</v>
      </c>
      <c r="M138">
        <f>IF('3-Chir_dent'!K10="","",'3-Chir_dent'!K10)</f>
        <v>9.7000000000000003E-2</v>
      </c>
      <c r="N138">
        <f>IF('3-Chir_dent'!L10="","",'3-Chir_dent'!L10)</f>
        <v>0</v>
      </c>
      <c r="O138" t="str">
        <f>IF('3-Chir_dent'!M10="","",'3-Chir_dent'!M10)</f>
        <v/>
      </c>
      <c r="P138" t="str">
        <f>IF('3-Chir_dent'!N10="","",'3-Chir_dent'!N10)</f>
        <v/>
      </c>
      <c r="Q138">
        <f>IF('3-Chir_dent'!O10="","",'3-Chir_dent'!O10)</f>
        <v>0</v>
      </c>
    </row>
    <row r="139" spans="1:18" ht="15">
      <c r="A139">
        <v>4</v>
      </c>
      <c r="B139" t="s">
        <v>109</v>
      </c>
      <c r="C139" t="str">
        <f>IF('4-COMMERCANT'!A10="","",'4-COMMERCANT'!A10)</f>
        <v>Retraite complément. - Tr 2</v>
      </c>
      <c r="D139">
        <f>IF('4-COMMERCANT'!B10="","",'4-COMMERCANT'!B10)</f>
        <v>0</v>
      </c>
      <c r="E139">
        <f>IF('4-COMMERCANT'!C10="","",'4-COMMERCANT'!C10)</f>
        <v>0.08</v>
      </c>
      <c r="F139">
        <f>IF('4-COMMERCANT'!D10="","",'4-COMMERCANT'!D10)</f>
        <v>0</v>
      </c>
      <c r="G139" t="str">
        <f>IF('4-COMMERCANT'!E10="","",'4-COMMERCANT'!E10)</f>
        <v/>
      </c>
      <c r="H139" t="str">
        <f>IF('4-COMMERCANT'!F10="","",'4-COMMERCANT'!F10)</f>
        <v/>
      </c>
      <c r="I139">
        <f>IF('4-COMMERCANT'!G10="","",'4-COMMERCANT'!G10)</f>
        <v>0</v>
      </c>
      <c r="J139">
        <v>4</v>
      </c>
      <c r="K139" t="str">
        <f>IF('4-COMMERCANT'!I10="","",'4-COMMERCANT'!I10)</f>
        <v>Retraite complément. - Tr 2</v>
      </c>
      <c r="L139">
        <f>IF('4-COMMERCANT'!J10="","",'4-COMMERCANT'!J10)</f>
        <v>0</v>
      </c>
      <c r="M139">
        <f>IF('4-COMMERCANT'!K10="","",'4-COMMERCANT'!K10)</f>
        <v>0.08</v>
      </c>
      <c r="N139">
        <f>IF('4-COMMERCANT'!L10="","",'4-COMMERCANT'!L10)</f>
        <v>0</v>
      </c>
      <c r="O139" t="str">
        <f>IF('4-COMMERCANT'!M10="","",'4-COMMERCANT'!M10)</f>
        <v/>
      </c>
      <c r="P139" t="str">
        <f>IF('4-COMMERCANT'!N10="","",'4-COMMERCANT'!N10)</f>
        <v/>
      </c>
      <c r="Q139">
        <f>IF('4-COMMERCANT'!O10="","",'4-COMMERCANT'!O10)</f>
        <v>0</v>
      </c>
    </row>
    <row r="140" spans="1:18" ht="15">
      <c r="A140">
        <v>5</v>
      </c>
      <c r="B140" t="s">
        <v>110</v>
      </c>
      <c r="C140" t="str">
        <f>IF('5-EC_CAC'!A10="","",'5-EC_CAC'!A10)</f>
        <v>Retraite de base 1</v>
      </c>
      <c r="D140">
        <f>IF('5-EC_CAC'!B10="","",'5-EC_CAC'!B10)</f>
        <v>5243</v>
      </c>
      <c r="E140">
        <f>IF('5-EC_CAC'!C10="","",'5-EC_CAC'!C10)</f>
        <v>8.2299999999999998E-2</v>
      </c>
      <c r="F140">
        <f>IF('5-EC_CAC'!D10="","",'5-EC_CAC'!D10)</f>
        <v>431</v>
      </c>
      <c r="G140" t="str">
        <f>IF('5-EC_CAC'!E10="","",'5-EC_CAC'!E10)</f>
        <v/>
      </c>
      <c r="H140" t="str">
        <f>IF('5-EC_CAC'!F10="","",'5-EC_CAC'!F10)</f>
        <v/>
      </c>
      <c r="I140">
        <f>IF('5-EC_CAC'!G10="","",'5-EC_CAC'!G10)</f>
        <v>431</v>
      </c>
      <c r="J140">
        <v>5</v>
      </c>
      <c r="K140" t="str">
        <f>IF('5-EC_CAC'!I10="","",'5-EC_CAC'!I10)</f>
        <v>Retraite de base 1</v>
      </c>
      <c r="L140">
        <f>IF('5-EC_CAC'!J10="","",'5-EC_CAC'!J10)</f>
        <v>5243</v>
      </c>
      <c r="M140">
        <f>IF('5-EC_CAC'!K10="","",'5-EC_CAC'!K10)</f>
        <v>8.2299999999999998E-2</v>
      </c>
      <c r="N140">
        <f>IF('5-EC_CAC'!L10="","",'5-EC_CAC'!L10)</f>
        <v>431</v>
      </c>
      <c r="O140" t="str">
        <f>IF('5-EC_CAC'!M10="","",'5-EC_CAC'!M10)</f>
        <v/>
      </c>
      <c r="P140" t="str">
        <f>IF('5-EC_CAC'!N10="","",'5-EC_CAC'!N10)</f>
        <v/>
      </c>
      <c r="Q140">
        <f>IF('5-EC_CAC'!O10="","",'5-EC_CAC'!O10)</f>
        <v>431</v>
      </c>
    </row>
    <row r="141" spans="1:18" ht="15">
      <c r="A141">
        <v>6</v>
      </c>
      <c r="B141" t="s">
        <v>111</v>
      </c>
      <c r="C141" t="str">
        <f>IF('6-MédS1'!A10="","",'6-MédS1'!A10)</f>
        <v>CSG-CRDS</v>
      </c>
      <c r="D141">
        <f>IF('6-MédS1'!B10="","",'6-MédS1'!B10)</f>
        <v>0</v>
      </c>
      <c r="E141">
        <f>IF('6-MédS1'!C10="","",'6-MédS1'!C10)</f>
        <v>9.7000000000000003E-2</v>
      </c>
      <c r="F141">
        <f>IF('6-MédS1'!D10="","",'6-MédS1'!D10)</f>
        <v>0</v>
      </c>
      <c r="G141" t="str">
        <f>IF('6-MédS1'!E10="","",'6-MédS1'!E10)</f>
        <v/>
      </c>
      <c r="H141" t="str">
        <f>IF('6-MédS1'!F10="","",'6-MédS1'!F10)</f>
        <v/>
      </c>
      <c r="I141">
        <f>IF('6-MédS1'!G10="","",'6-MédS1'!G10)</f>
        <v>0</v>
      </c>
      <c r="J141">
        <v>6</v>
      </c>
      <c r="K141" t="str">
        <f>IF('6-MédS1'!I10="","",'6-MédS1'!I10)</f>
        <v>CSG-CRDS</v>
      </c>
      <c r="L141">
        <f>IF('6-MédS1'!J10="","",'6-MédS1'!J10)</f>
        <v>0</v>
      </c>
      <c r="M141">
        <f>IF('6-MédS1'!K10="","",'6-MédS1'!K10)</f>
        <v>9.7000000000000003E-2</v>
      </c>
      <c r="N141">
        <f>IF('6-MédS1'!L10="","",'6-MédS1'!L10)</f>
        <v>0</v>
      </c>
      <c r="O141" t="str">
        <f>IF('6-MédS1'!M10="","",'6-MédS1'!M10)</f>
        <v/>
      </c>
      <c r="P141" t="str">
        <f>IF('6-MédS1'!N10="","",'6-MédS1'!N10)</f>
        <v/>
      </c>
      <c r="Q141">
        <f>IF('6-MédS1'!O10="","",'6-MédS1'!O10)</f>
        <v>0</v>
      </c>
    </row>
    <row r="142" spans="1:18" ht="15">
      <c r="A142">
        <v>7</v>
      </c>
      <c r="B142" t="s">
        <v>112</v>
      </c>
      <c r="C142" t="str">
        <f>IF('7-MédS2'!A10="","",'7-MédS2'!A10)</f>
        <v>CSG-CRDS</v>
      </c>
      <c r="D142">
        <f>IF('7-MédS2'!B10="","",'7-MédS2'!B10)</f>
        <v>0</v>
      </c>
      <c r="E142">
        <f>IF('7-MédS2'!C10="","",'7-MédS2'!C10)</f>
        <v>9.7000000000000003E-2</v>
      </c>
      <c r="F142">
        <f>IF('7-MédS2'!D10="","",'7-MédS2'!D10)</f>
        <v>0</v>
      </c>
      <c r="G142" t="str">
        <f>IF('7-MédS2'!E10="","",'7-MédS2'!E10)</f>
        <v/>
      </c>
      <c r="H142" t="str">
        <f>IF('7-MédS2'!F10="","",'7-MédS2'!F10)</f>
        <v/>
      </c>
      <c r="I142">
        <f>IF('7-MédS2'!G10="","",'7-MédS2'!G10)</f>
        <v>0</v>
      </c>
      <c r="J142">
        <v>7</v>
      </c>
      <c r="K142" t="str">
        <f>IF('7-MédS2'!I10="","",'7-MédS2'!I10)</f>
        <v>CSG-CRDS</v>
      </c>
      <c r="L142">
        <f>IF('7-MédS2'!J10="","",'7-MédS2'!J10)</f>
        <v>0</v>
      </c>
      <c r="M142">
        <f>IF('7-MédS2'!K10="","",'7-MédS2'!K10)</f>
        <v>9.7000000000000003E-2</v>
      </c>
      <c r="N142">
        <f>IF('7-MédS2'!L10="","",'7-MédS2'!L10)</f>
        <v>0</v>
      </c>
      <c r="O142" t="str">
        <f>IF('7-MédS2'!M10="","",'7-MédS2'!M10)</f>
        <v/>
      </c>
      <c r="P142" t="str">
        <f>IF('7-MédS2'!N10="","",'7-MédS2'!N10)</f>
        <v/>
      </c>
      <c r="Q142">
        <f>IF('7-MédS2'!O10="","",'7-MédS2'!O10)</f>
        <v>0</v>
      </c>
    </row>
    <row r="143" spans="1:18" ht="15">
      <c r="A143">
        <v>8</v>
      </c>
      <c r="B143" t="s">
        <v>113</v>
      </c>
      <c r="C143" t="str">
        <f>IF('8-PAM'!A10="","",'8-PAM'!A10)</f>
        <v>CSG-CRDS</v>
      </c>
      <c r="D143">
        <f>IF('8-PAM'!B10="","",'8-PAM'!B10)</f>
        <v>0</v>
      </c>
      <c r="E143">
        <f>IF('8-PAM'!C10="","",'8-PAM'!C10)</f>
        <v>9.7000000000000003E-2</v>
      </c>
      <c r="F143">
        <f>IF('8-PAM'!D10="","",'8-PAM'!D10)</f>
        <v>0</v>
      </c>
      <c r="G143" t="str">
        <f>IF('8-PAM'!E10="","",'8-PAM'!E10)</f>
        <v/>
      </c>
      <c r="H143" t="str">
        <f>IF('8-PAM'!F10="","",'8-PAM'!F10)</f>
        <v/>
      </c>
      <c r="I143">
        <f>IF('8-PAM'!G10="","",'8-PAM'!G10)</f>
        <v>0</v>
      </c>
      <c r="J143">
        <v>8</v>
      </c>
      <c r="K143" t="str">
        <f>IF('8-PAM'!I10="","",'8-PAM'!I10)</f>
        <v>CSG-CRDS</v>
      </c>
      <c r="L143">
        <f>IF('8-PAM'!J10="","",'8-PAM'!J10)</f>
        <v>0</v>
      </c>
      <c r="M143">
        <f>IF('8-PAM'!K10="","",'8-PAM'!K10)</f>
        <v>9.7000000000000003E-2</v>
      </c>
      <c r="N143">
        <f>IF('8-PAM'!L10="","",'8-PAM'!L10)</f>
        <v>0</v>
      </c>
      <c r="O143" t="str">
        <f>IF('8-PAM'!M10="","",'8-PAM'!M10)</f>
        <v/>
      </c>
      <c r="P143" t="str">
        <f>IF('8-PAM'!N10="","",'8-PAM'!N10)</f>
        <v/>
      </c>
      <c r="Q143">
        <f>IF('8-PAM'!O10="","",'8-PAM'!O10)</f>
        <v>0</v>
      </c>
    </row>
    <row r="144" spans="1:18" ht="15">
      <c r="A144">
        <v>9</v>
      </c>
      <c r="B144" t="s">
        <v>114</v>
      </c>
      <c r="C144" t="str">
        <f>IF('9-CIPAV'!A10="","",'9-CIPAV'!A10)</f>
        <v>Retraite de base 1</v>
      </c>
      <c r="D144">
        <f>IF('9-CIPAV'!B10="","",'9-CIPAV'!B10)</f>
        <v>5243</v>
      </c>
      <c r="E144">
        <f>IF('9-CIPAV'!C10="","",'9-CIPAV'!C10)</f>
        <v>8.2299999999999998E-2</v>
      </c>
      <c r="F144">
        <f>IF('9-CIPAV'!D10="","",'9-CIPAV'!D10)</f>
        <v>431</v>
      </c>
      <c r="G144" t="str">
        <f>IF('9-CIPAV'!E10="","",'9-CIPAV'!E10)</f>
        <v/>
      </c>
      <c r="H144" t="str">
        <f>IF('9-CIPAV'!F10="","",'9-CIPAV'!F10)</f>
        <v/>
      </c>
      <c r="I144">
        <f>IF('9-CIPAV'!G10="","",'9-CIPAV'!G10)</f>
        <v>431</v>
      </c>
      <c r="J144">
        <v>9</v>
      </c>
      <c r="K144" t="str">
        <f>IF('9-CIPAV'!I10="","",'9-CIPAV'!I10)</f>
        <v>Retraite de base 1</v>
      </c>
      <c r="L144">
        <f>IF('9-CIPAV'!J10="","",'9-CIPAV'!J10)</f>
        <v>5243</v>
      </c>
      <c r="M144">
        <f>IF('9-CIPAV'!K10="","",'9-CIPAV'!K10)</f>
        <v>8.2299999999999998E-2</v>
      </c>
      <c r="N144">
        <f>IF('9-CIPAV'!L10="","",'9-CIPAV'!L10)</f>
        <v>431</v>
      </c>
      <c r="O144" t="str">
        <f>IF('9-CIPAV'!M10="","",'9-CIPAV'!M10)</f>
        <v/>
      </c>
      <c r="P144" t="str">
        <f>IF('9-CIPAV'!N10="","",'9-CIPAV'!N10)</f>
        <v/>
      </c>
      <c r="Q144">
        <f>IF('9-CIPAV'!O10="","",'9-CIPAV'!O10)</f>
        <v>431</v>
      </c>
    </row>
    <row r="145" spans="1:18" ht="15">
      <c r="A145">
        <v>10</v>
      </c>
      <c r="B145" t="s">
        <v>115</v>
      </c>
      <c r="C145" t="str">
        <f>IF('10-BNC-SSI'!A10="","",'10-BNC-SSI'!A10)</f>
        <v>Invalidité-décès</v>
      </c>
      <c r="D145">
        <f>IF('10-BNC-SSI'!B10="","",'10-BNC-SSI'!B10)</f>
        <v>0</v>
      </c>
      <c r="E145">
        <f>IF('10-BNC-SSI'!C10="","",'10-BNC-SSI'!C10)</f>
        <v>1.2999999999999999E-2</v>
      </c>
      <c r="F145">
        <f>IF('10-BNC-SSI'!D10="","",'10-BNC-SSI'!D10)</f>
        <v>0</v>
      </c>
      <c r="G145" t="str">
        <f>IF('10-BNC-SSI'!E10="","",'10-BNC-SSI'!E10)</f>
        <v/>
      </c>
      <c r="H145" t="str">
        <f>IF('10-BNC-SSI'!F10="","",'10-BNC-SSI'!F10)</f>
        <v/>
      </c>
      <c r="I145">
        <f>IF('10-BNC-SSI'!G10="","",'10-BNC-SSI'!G10)</f>
        <v>0</v>
      </c>
      <c r="J145">
        <v>10</v>
      </c>
      <c r="K145" t="str">
        <f>IF('10-BNC-SSI'!I10="","",'10-BNC-SSI'!I10)</f>
        <v>Invalidité-décès</v>
      </c>
      <c r="L145">
        <f>IF('10-BNC-SSI'!J10="","",'10-BNC-SSI'!J10)</f>
        <v>0</v>
      </c>
      <c r="M145">
        <f>IF('10-BNC-SSI'!K10="","",'10-BNC-SSI'!K10)</f>
        <v>1.2999999999999999E-2</v>
      </c>
      <c r="N145">
        <f>IF('10-BNC-SSI'!L10="","",'10-BNC-SSI'!L10)</f>
        <v>0</v>
      </c>
      <c r="O145" t="str">
        <f>IF('10-BNC-SSI'!M10="","",'10-BNC-SSI'!M10)</f>
        <v/>
      </c>
      <c r="P145" t="str">
        <f>IF('10-BNC-SSI'!N10="","",'10-BNC-SSI'!N10)</f>
        <v/>
      </c>
      <c r="Q145">
        <f>IF('10-BNC-SSI'!O10="","",'10-BNC-SSI'!O10)</f>
        <v>0</v>
      </c>
    </row>
    <row r="146" spans="1:18" ht="15">
      <c r="A146">
        <v>11</v>
      </c>
      <c r="B146" t="s">
        <v>116</v>
      </c>
      <c r="C146" t="str">
        <f>IF('11-SF'!A10="","",'11-SF'!A10)</f>
        <v>CSG-CRDS</v>
      </c>
      <c r="D146">
        <f>IF('11-SF'!B10="","",'11-SF'!B10)</f>
        <v>0</v>
      </c>
      <c r="E146">
        <f>IF('11-SF'!C10="","",'11-SF'!C10)</f>
        <v>9.7000000000000003E-2</v>
      </c>
      <c r="F146">
        <f>IF('11-SF'!D10="","",'11-SF'!D10)</f>
        <v>0</v>
      </c>
      <c r="G146" t="str">
        <f>IF('11-SF'!E10="","",'11-SF'!E10)</f>
        <v/>
      </c>
      <c r="H146" t="str">
        <f>IF('11-SF'!F10="","",'11-SF'!F10)</f>
        <v/>
      </c>
      <c r="I146">
        <f>IF('11-SF'!G10="","",'11-SF'!G10)</f>
        <v>0</v>
      </c>
      <c r="J146">
        <v>11</v>
      </c>
      <c r="K146" t="str">
        <f>IF('11-SF'!I10="","",'11-SF'!I10)</f>
        <v>CSG-CRDS</v>
      </c>
      <c r="L146">
        <f>IF('11-SF'!J10="","",'11-SF'!J10)</f>
        <v>0</v>
      </c>
      <c r="M146">
        <f>IF('11-SF'!K10="","",'11-SF'!K10)</f>
        <v>9.7000000000000003E-2</v>
      </c>
      <c r="N146">
        <f>IF('11-SF'!L10="","",'11-SF'!L10)</f>
        <v>0</v>
      </c>
      <c r="O146" t="str">
        <f>IF('11-SF'!M10="","",'11-SF'!M10)</f>
        <v/>
      </c>
      <c r="P146" t="str">
        <f>IF('11-SF'!N10="","",'11-SF'!N10)</f>
        <v/>
      </c>
      <c r="Q146">
        <f>IF('11-SF'!O10="","",'11-SF'!O10)</f>
        <v>0</v>
      </c>
    </row>
    <row r="147" spans="1:18" ht="15">
      <c r="A147">
        <v>12</v>
      </c>
      <c r="B147" t="s">
        <v>117</v>
      </c>
      <c r="C147" t="str">
        <f>IF('12-VETO'!A10="","",'12-VETO'!A10)</f>
        <v>Retraite de base 1</v>
      </c>
      <c r="D147">
        <f>IF('12-VETO'!B10="","",'12-VETO'!B10)</f>
        <v>5243</v>
      </c>
      <c r="E147">
        <f>IF('12-VETO'!C10="","",'12-VETO'!C10)</f>
        <v>8.2299999999999998E-2</v>
      </c>
      <c r="F147">
        <f>IF('12-VETO'!D10="","",'12-VETO'!D10)</f>
        <v>431</v>
      </c>
      <c r="G147" t="str">
        <f>IF('12-VETO'!E10="","",'12-VETO'!E10)</f>
        <v/>
      </c>
      <c r="H147" t="str">
        <f>IF('12-VETO'!F10="","",'12-VETO'!F10)</f>
        <v/>
      </c>
      <c r="I147">
        <f>IF('12-VETO'!G10="","",'12-VETO'!G10)</f>
        <v>431</v>
      </c>
      <c r="J147">
        <v>12</v>
      </c>
      <c r="K147" t="str">
        <f>IF('12-VETO'!I10="","",'12-VETO'!I10)</f>
        <v>Retraite de base 1</v>
      </c>
      <c r="L147">
        <f>IF('12-VETO'!J10="","",'12-VETO'!J10)</f>
        <v>5243</v>
      </c>
      <c r="M147">
        <f>IF('12-VETO'!K10="","",'12-VETO'!K10)</f>
        <v>8.2299999999999998E-2</v>
      </c>
      <c r="N147">
        <f>IF('12-VETO'!L10="","",'12-VETO'!L10)</f>
        <v>431</v>
      </c>
      <c r="O147" t="str">
        <f>IF('12-VETO'!M10="","",'12-VETO'!M10)</f>
        <v/>
      </c>
      <c r="P147" t="str">
        <f>IF('12-VETO'!N10="","",'12-VETO'!N10)</f>
        <v/>
      </c>
      <c r="Q147">
        <f>IF('12-VETO'!O10="","",'12-VETO'!O10)</f>
        <v>431</v>
      </c>
    </row>
    <row r="148" spans="1:18" ht="15">
      <c r="A148">
        <v>13</v>
      </c>
      <c r="B148" t="s">
        <v>168</v>
      </c>
      <c r="C148" t="str">
        <f>IF('13-AGENT D''ASS'!A10="","",'13-AGENT D''ASS'!A10)</f>
        <v>Retraite de base 1</v>
      </c>
      <c r="D148">
        <f>IF('13-AGENT D''ASS'!B10="","",'13-AGENT D''ASS'!B10)</f>
        <v>5243</v>
      </c>
      <c r="E148">
        <f>IF('13-AGENT D''ASS'!C10="","",'13-AGENT D''ASS'!C10)</f>
        <v>8.2299999999999998E-2</v>
      </c>
      <c r="F148">
        <f>IF('13-AGENT D''ASS'!D10="","",'13-AGENT D''ASS'!D10)</f>
        <v>431</v>
      </c>
      <c r="G148" t="str">
        <f>IF('13-AGENT D''ASS'!E10="","",'13-AGENT D''ASS'!E10)</f>
        <v/>
      </c>
      <c r="H148" t="str">
        <f>IF('13-AGENT D''ASS'!F10="","",'13-AGENT D''ASS'!F10)</f>
        <v/>
      </c>
      <c r="I148">
        <f>IF('13-AGENT D''ASS'!G10="","",'13-AGENT D''ASS'!G10)</f>
        <v>431</v>
      </c>
      <c r="J148">
        <v>13</v>
      </c>
      <c r="K148" t="str">
        <f>IF('13-AGENT D''ASS'!I10="","",'13-AGENT D''ASS'!I10)</f>
        <v>Retraite de base 1</v>
      </c>
      <c r="L148">
        <f>IF('13-AGENT D''ASS'!J10="","",'13-AGENT D''ASS'!J10)</f>
        <v>5243</v>
      </c>
      <c r="M148">
        <f>IF('13-AGENT D''ASS'!K10="","",'13-AGENT D''ASS'!K10)</f>
        <v>8.2299999999999998E-2</v>
      </c>
      <c r="N148">
        <f>IF('13-AGENT D''ASS'!L10="","",'13-AGENT D''ASS'!L10)</f>
        <v>431</v>
      </c>
      <c r="O148" t="str">
        <f>IF('13-AGENT D''ASS'!M10="","",'13-AGENT D''ASS'!M10)</f>
        <v/>
      </c>
      <c r="P148" t="str">
        <f>IF('13-AGENT D''ASS'!N10="","",'13-AGENT D''ASS'!N10)</f>
        <v/>
      </c>
      <c r="Q148">
        <f>IF('13-AGENT D''ASS'!O10="","",'13-AGENT D''ASS'!O10)</f>
        <v>431</v>
      </c>
    </row>
    <row r="149" spans="1:18" ht="15">
      <c r="A149">
        <v>14</v>
      </c>
      <c r="B149" t="s">
        <v>169</v>
      </c>
      <c r="C149" t="str">
        <f>IF('14-Avocats'!A10="","",'14-Avocats'!A10)</f>
        <v>Retraite de base Forfaitaire</v>
      </c>
      <c r="D149" t="str">
        <f>IF('14-Avocats'!B10="","",'14-Avocats'!B10)</f>
        <v>0è année ou +</v>
      </c>
      <c r="E149" t="str">
        <f>IF('14-Avocats'!C10="","",'14-Avocats'!C10)</f>
        <v/>
      </c>
      <c r="F149" t="e">
        <f>IF('14-Avocats'!D10="","",'14-Avocats'!D10)</f>
        <v>#N/A</v>
      </c>
      <c r="G149" t="str">
        <f>IF('14-Avocats'!E10="","",'14-Avocats'!E10)</f>
        <v/>
      </c>
      <c r="H149" t="str">
        <f>IF('14-Avocats'!F10="","",'14-Avocats'!F10)</f>
        <v/>
      </c>
      <c r="I149" t="e">
        <f>IF('14-Avocats'!G10="","",'14-Avocats'!G10)</f>
        <v>#N/A</v>
      </c>
      <c r="J149">
        <v>14</v>
      </c>
      <c r="K149" t="str">
        <f>IF('14-Avocats'!I10="","",'14-Avocats'!I10)</f>
        <v>Retraite de base Forfaitaire</v>
      </c>
      <c r="L149" t="str">
        <f>IF('14-Avocats'!J10="","",'14-Avocats'!J10)</f>
        <v>0è année ou +</v>
      </c>
      <c r="M149" t="str">
        <f>IF('14-Avocats'!K10="","",'14-Avocats'!K10)</f>
        <v/>
      </c>
      <c r="N149" t="e">
        <f>IF('14-Avocats'!L10="","",'14-Avocats'!L10)</f>
        <v>#N/A</v>
      </c>
      <c r="O149" t="str">
        <f>IF('14-Avocats'!M10="","",'14-Avocats'!M10)</f>
        <v/>
      </c>
      <c r="P149" t="str">
        <f>IF('14-Avocats'!N10="","",'14-Avocats'!N10)</f>
        <v/>
      </c>
      <c r="Q149" t="e">
        <f>IF('14-Avocats'!O10="","",'14-Avocats'!O10)</f>
        <v>#N/A</v>
      </c>
    </row>
    <row r="150" spans="1:18" ht="15">
      <c r="A150">
        <v>15</v>
      </c>
      <c r="B150" t="s">
        <v>203</v>
      </c>
      <c r="C150" t="str">
        <f>IF('15-PODO'!A10="","",'15-PODO'!A10)</f>
        <v>TOTAL URSSAF</v>
      </c>
      <c r="D150" t="str">
        <f>IF('15-PODO'!B10="","",'15-PODO'!B10)</f>
        <v/>
      </c>
      <c r="E150" t="str">
        <f>IF('15-PODO'!C10="","",'15-PODO'!C10)</f>
        <v/>
      </c>
      <c r="F150" t="str">
        <f>IF('15-PODO'!D10="","",'15-PODO'!D10)</f>
        <v/>
      </c>
      <c r="G150" t="str">
        <f>IF('15-PODO'!E10="","",'15-PODO'!E10)</f>
        <v/>
      </c>
      <c r="H150" t="str">
        <f>IF('15-PODO'!F10="","",'15-PODO'!F10)</f>
        <v/>
      </c>
      <c r="I150">
        <f>IF('15-PODO'!G10="","",'15-PODO'!G10)</f>
        <v>172</v>
      </c>
      <c r="J150">
        <v>15</v>
      </c>
      <c r="K150" t="str">
        <f>IF('15-PODO'!I10="","",'15-PODO'!I10)</f>
        <v>TOTAL URSSAF</v>
      </c>
      <c r="L150" t="str">
        <f>IF('15-PODO'!J10="","",'15-PODO'!J10)</f>
        <v/>
      </c>
      <c r="M150" t="str">
        <f>IF('15-PODO'!K10="","",'15-PODO'!K10)</f>
        <v/>
      </c>
      <c r="N150" t="str">
        <f>IF('15-PODO'!L10="","",'15-PODO'!L10)</f>
        <v/>
      </c>
      <c r="O150" t="str">
        <f>IF('15-PODO'!M10="","",'15-PODO'!M10)</f>
        <v/>
      </c>
      <c r="P150" t="str">
        <f>IF('15-PODO'!N10="","",'15-PODO'!N10)</f>
        <v/>
      </c>
      <c r="Q150">
        <f>IF('15-PODO'!O10="","",'15-PODO'!O10)</f>
        <v>172</v>
      </c>
    </row>
    <row r="151" spans="1:18">
      <c r="B151" s="18" t="str">
        <f>B135</f>
        <v>LIGNE 7 : A10</v>
      </c>
      <c r="C151" s="18" t="e">
        <f>VLOOKUP($A$45,$A$136:$I$150,3,FALSE)</f>
        <v>#N/A</v>
      </c>
      <c r="D151" s="64" t="e">
        <f>VLOOKUP($A$27,$A$136:$I$150,4,FALSE)</f>
        <v>#N/A</v>
      </c>
      <c r="E151" s="46" t="e">
        <f>VLOOKUP($A$27,$A$136:$I$150,5,FALSE)</f>
        <v>#N/A</v>
      </c>
      <c r="F151" s="65" t="e">
        <f>VLOOKUP($A$27,$A$136:$I$150,6,FALSE)</f>
        <v>#N/A</v>
      </c>
      <c r="G151" s="46" t="e">
        <f>VLOOKUP($A$27,$A$136:$I$150,7,FALSE)</f>
        <v>#N/A</v>
      </c>
      <c r="H151" s="65" t="e">
        <f>VLOOKUP($A$27,$A$136:$I$150,8,FALSE)</f>
        <v>#N/A</v>
      </c>
      <c r="I151" s="65" t="e">
        <f>VLOOKUP($A$27,$A$136:$I$150,9,FALSE)</f>
        <v>#N/A</v>
      </c>
      <c r="J151" s="66" t="e">
        <f>IF(LEFT(C151,5)="TOTAL",1,0)</f>
        <v>#N/A</v>
      </c>
      <c r="K151" s="18" t="e">
        <f>VLOOKUP($A$27,$J$136:$Q$150,2,FALSE)</f>
        <v>#N/A</v>
      </c>
      <c r="L151" s="18" t="e">
        <f>VLOOKUP($A$27,$J$136:$Q$150,3,FALSE)</f>
        <v>#N/A</v>
      </c>
      <c r="M151" s="18" t="e">
        <f>VLOOKUP($A$27,$J$136:$Q$150,4,FALSE)</f>
        <v>#N/A</v>
      </c>
      <c r="N151" s="18" t="e">
        <f>VLOOKUP($A$27,$J$136:$Q$150,5,FALSE)</f>
        <v>#N/A</v>
      </c>
      <c r="O151" s="18" t="e">
        <f>VLOOKUP($A$27,$J$136:$Q$150,6,FALSE)</f>
        <v>#N/A</v>
      </c>
      <c r="P151" s="18" t="e">
        <f>VLOOKUP($A$27,$J$136:$Q$150,7,FALSE)</f>
        <v>#N/A</v>
      </c>
      <c r="Q151" s="18" t="e">
        <f>VLOOKUP($A$27,$J$136:$Q$150,8,FALSE)</f>
        <v>#N/A</v>
      </c>
      <c r="R151" s="66" t="e">
        <f>IF(LEFT(K151,5)="TOTAL",1,0)</f>
        <v>#N/A</v>
      </c>
    </row>
    <row r="153" spans="1:18">
      <c r="A153">
        <f>CAS</f>
        <v>0</v>
      </c>
      <c r="B153" t="s">
        <v>142</v>
      </c>
      <c r="D153" s="8" t="s">
        <v>19</v>
      </c>
      <c r="E153" s="8" t="s">
        <v>60</v>
      </c>
      <c r="F153" s="8" t="s">
        <v>61</v>
      </c>
      <c r="G153" s="8" t="s">
        <v>66</v>
      </c>
      <c r="H153" s="8" t="s">
        <v>64</v>
      </c>
      <c r="I153" s="8" t="s">
        <v>65</v>
      </c>
    </row>
    <row r="154" spans="1:18" ht="15">
      <c r="A154">
        <v>1</v>
      </c>
      <c r="B154" t="s">
        <v>106</v>
      </c>
      <c r="C154" t="str">
        <f>IF('1-ARTISAN'!A11="","",'1-ARTISAN'!A11)</f>
        <v>Invalidité-décès</v>
      </c>
      <c r="D154">
        <f>IF('1-ARTISAN'!B11="","",'1-ARTISAN'!B11)</f>
        <v>0</v>
      </c>
      <c r="E154">
        <f>IF('1-ARTISAN'!C11="","",'1-ARTISAN'!C11)</f>
        <v>1.2999999999999999E-2</v>
      </c>
      <c r="F154">
        <f>IF('1-ARTISAN'!D11="","",'1-ARTISAN'!D11)</f>
        <v>0</v>
      </c>
      <c r="G154" t="str">
        <f>IF('1-ARTISAN'!E11="","",'1-ARTISAN'!E11)</f>
        <v/>
      </c>
      <c r="H154" t="str">
        <f>IF('1-ARTISAN'!F11="","",'1-ARTISAN'!F11)</f>
        <v/>
      </c>
      <c r="I154">
        <f>IF('1-ARTISAN'!G11="","",'1-ARTISAN'!G11)</f>
        <v>0</v>
      </c>
      <c r="J154">
        <v>1</v>
      </c>
      <c r="K154" t="str">
        <f>IF('1-ARTISAN'!I11="","",'1-ARTISAN'!I11)</f>
        <v>Invalidité-décès</v>
      </c>
      <c r="L154">
        <f>IF('1-ARTISAN'!J11="","",'1-ARTISAN'!J11)</f>
        <v>0</v>
      </c>
      <c r="M154">
        <f>IF('1-ARTISAN'!K11="","",'1-ARTISAN'!K11)</f>
        <v>1.2999999999999999E-2</v>
      </c>
      <c r="N154">
        <f>IF('1-ARTISAN'!L11="","",'1-ARTISAN'!L11)</f>
        <v>0</v>
      </c>
      <c r="O154" t="str">
        <f>IF('1-ARTISAN'!M11="","",'1-ARTISAN'!M11)</f>
        <v/>
      </c>
      <c r="P154" t="str">
        <f>IF('1-ARTISAN'!N11="","",'1-ARTISAN'!N11)</f>
        <v/>
      </c>
      <c r="Q154">
        <f>IF('1-ARTISAN'!O11="","",'1-ARTISAN'!O11)</f>
        <v>0</v>
      </c>
    </row>
    <row r="155" spans="1:18" ht="15">
      <c r="A155">
        <v>2</v>
      </c>
      <c r="B155" t="s">
        <v>107</v>
      </c>
      <c r="C155" t="str">
        <f>IF('2-ARTISTES'!A11="","",'2-ARTISTES'!A11)</f>
        <v/>
      </c>
      <c r="D155" t="str">
        <f>IF('2-ARTISTES'!B11="","",'2-ARTISTES'!B11)</f>
        <v/>
      </c>
      <c r="E155" t="str">
        <f>IF('2-ARTISTES'!C11="","",'2-ARTISTES'!C11)</f>
        <v/>
      </c>
      <c r="F155" t="str">
        <f>IF('2-ARTISTES'!D11="","",'2-ARTISTES'!D11)</f>
        <v/>
      </c>
      <c r="G155" t="str">
        <f>IF('2-ARTISTES'!E11="","",'2-ARTISTES'!E11)</f>
        <v/>
      </c>
      <c r="H155" t="str">
        <f>IF('2-ARTISTES'!F11="","",'2-ARTISTES'!F11)</f>
        <v/>
      </c>
      <c r="I155" t="str">
        <f>IF('2-ARTISTES'!G11="","",'2-ARTISTES'!G11)</f>
        <v/>
      </c>
      <c r="J155">
        <v>2</v>
      </c>
      <c r="K155" t="str">
        <f>IF('2-ARTISTES'!I11="","",'2-ARTISTES'!I11)</f>
        <v/>
      </c>
      <c r="L155" t="str">
        <f>IF('2-ARTISTES'!J11="","",'2-ARTISTES'!J11)</f>
        <v/>
      </c>
      <c r="M155" t="str">
        <f>IF('2-ARTISTES'!K11="","",'2-ARTISTES'!K11)</f>
        <v/>
      </c>
      <c r="N155" t="str">
        <f>IF('2-ARTISTES'!L11="","",'2-ARTISTES'!L11)</f>
        <v/>
      </c>
      <c r="O155" t="str">
        <f>IF('2-ARTISTES'!M11="","",'2-ARTISTES'!M11)</f>
        <v/>
      </c>
      <c r="P155" t="str">
        <f>IF('2-ARTISTES'!N11="","",'2-ARTISTES'!N11)</f>
        <v/>
      </c>
      <c r="Q155" t="str">
        <f>IF('2-ARTISTES'!O11="","",'2-ARTISTES'!O11)</f>
        <v/>
      </c>
    </row>
    <row r="156" spans="1:18" ht="15">
      <c r="A156">
        <v>3</v>
      </c>
      <c r="B156" t="s">
        <v>108</v>
      </c>
      <c r="C156" t="str">
        <f>IF('3-Chir_dent'!A11="","",'3-Chir_dent'!A11)</f>
        <v>TOTAL URSSAF</v>
      </c>
      <c r="D156" t="str">
        <f>IF('3-Chir_dent'!B11="","",'3-Chir_dent'!B11)</f>
        <v/>
      </c>
      <c r="E156" t="str">
        <f>IF('3-Chir_dent'!C11="","",'3-Chir_dent'!C11)</f>
        <v/>
      </c>
      <c r="F156" t="str">
        <f>IF('3-Chir_dent'!D11="","",'3-Chir_dent'!D11)</f>
        <v/>
      </c>
      <c r="G156" t="str">
        <f>IF('3-Chir_dent'!E11="","",'3-Chir_dent'!E11)</f>
        <v/>
      </c>
      <c r="H156" t="str">
        <f>IF('3-Chir_dent'!F11="","",'3-Chir_dent'!F11)</f>
        <v/>
      </c>
      <c r="I156">
        <f>IF('3-Chir_dent'!G11="","",'3-Chir_dent'!G11)</f>
        <v>172</v>
      </c>
      <c r="J156">
        <v>3</v>
      </c>
      <c r="K156" t="str">
        <f>IF('3-Chir_dent'!I11="","",'3-Chir_dent'!I11)</f>
        <v>TOTAL URSSAF</v>
      </c>
      <c r="L156" t="str">
        <f>IF('3-Chir_dent'!J11="","",'3-Chir_dent'!J11)</f>
        <v/>
      </c>
      <c r="M156" t="str">
        <f>IF('3-Chir_dent'!K11="","",'3-Chir_dent'!K11)</f>
        <v/>
      </c>
      <c r="N156" t="str">
        <f>IF('3-Chir_dent'!L11="","",'3-Chir_dent'!L11)</f>
        <v/>
      </c>
      <c r="O156" t="str">
        <f>IF('3-Chir_dent'!M11="","",'3-Chir_dent'!M11)</f>
        <v/>
      </c>
      <c r="P156" t="str">
        <f>IF('3-Chir_dent'!N11="","",'3-Chir_dent'!N11)</f>
        <v/>
      </c>
      <c r="Q156" t="e">
        <f>IF('3-Chir_dent'!O11="","",'3-Chir_dent'!O11)</f>
        <v>#DIV/0!</v>
      </c>
    </row>
    <row r="157" spans="1:18" ht="15">
      <c r="A157">
        <v>4</v>
      </c>
      <c r="B157" t="s">
        <v>109</v>
      </c>
      <c r="C157" t="str">
        <f>IF('4-COMMERCANT'!A11="","",'4-COMMERCANT'!A11)</f>
        <v>Invalidité-décès</v>
      </c>
      <c r="D157">
        <f>IF('4-COMMERCANT'!B11="","",'4-COMMERCANT'!B11)</f>
        <v>0</v>
      </c>
      <c r="E157">
        <f>IF('4-COMMERCANT'!C11="","",'4-COMMERCANT'!C11)</f>
        <v>1.2999999999999999E-2</v>
      </c>
      <c r="F157">
        <f>IF('4-COMMERCANT'!D11="","",'4-COMMERCANT'!D11)</f>
        <v>0</v>
      </c>
      <c r="G157" t="str">
        <f>IF('4-COMMERCANT'!E11="","",'4-COMMERCANT'!E11)</f>
        <v/>
      </c>
      <c r="H157" t="str">
        <f>IF('4-COMMERCANT'!F11="","",'4-COMMERCANT'!F11)</f>
        <v/>
      </c>
      <c r="I157">
        <f>IF('4-COMMERCANT'!G11="","",'4-COMMERCANT'!G11)</f>
        <v>0</v>
      </c>
      <c r="J157">
        <v>4</v>
      </c>
      <c r="K157" t="str">
        <f>IF('4-COMMERCANT'!I11="","",'4-COMMERCANT'!I11)</f>
        <v>Invalidité-décès</v>
      </c>
      <c r="L157">
        <f>IF('4-COMMERCANT'!J11="","",'4-COMMERCANT'!J11)</f>
        <v>0</v>
      </c>
      <c r="M157">
        <f>IF('4-COMMERCANT'!K11="","",'4-COMMERCANT'!K11)</f>
        <v>1.2999999999999999E-2</v>
      </c>
      <c r="N157">
        <f>IF('4-COMMERCANT'!L11="","",'4-COMMERCANT'!L11)</f>
        <v>0</v>
      </c>
      <c r="O157" t="str">
        <f>IF('4-COMMERCANT'!M11="","",'4-COMMERCANT'!M11)</f>
        <v/>
      </c>
      <c r="P157" t="str">
        <f>IF('4-COMMERCANT'!N11="","",'4-COMMERCANT'!N11)</f>
        <v/>
      </c>
      <c r="Q157">
        <f>IF('4-COMMERCANT'!O11="","",'4-COMMERCANT'!O11)</f>
        <v>0</v>
      </c>
    </row>
    <row r="158" spans="1:18" ht="15">
      <c r="A158">
        <v>5</v>
      </c>
      <c r="B158" t="s">
        <v>110</v>
      </c>
      <c r="C158" t="str">
        <f>IF('5-EC_CAC'!A11="","",'5-EC_CAC'!A11)</f>
        <v>Retraite de base 2</v>
      </c>
      <c r="D158">
        <f>IF('5-EC_CAC'!B11="","",'5-EC_CAC'!B11)</f>
        <v>5243</v>
      </c>
      <c r="E158">
        <f>IF('5-EC_CAC'!C11="","",'5-EC_CAC'!C11)</f>
        <v>1.8700000000000001E-2</v>
      </c>
      <c r="F158">
        <f>IF('5-EC_CAC'!D11="","",'5-EC_CAC'!D11)</f>
        <v>98</v>
      </c>
      <c r="G158" t="str">
        <f>IF('5-EC_CAC'!E11="","",'5-EC_CAC'!E11)</f>
        <v/>
      </c>
      <c r="H158" t="str">
        <f>IF('5-EC_CAC'!F11="","",'5-EC_CAC'!F11)</f>
        <v/>
      </c>
      <c r="I158">
        <f>IF('5-EC_CAC'!G11="","",'5-EC_CAC'!G11)</f>
        <v>98</v>
      </c>
      <c r="J158">
        <v>5</v>
      </c>
      <c r="K158" t="str">
        <f>IF('5-EC_CAC'!I11="","",'5-EC_CAC'!I11)</f>
        <v>Retraite de base 2</v>
      </c>
      <c r="L158">
        <f>IF('5-EC_CAC'!J11="","",'5-EC_CAC'!J11)</f>
        <v>5243</v>
      </c>
      <c r="M158">
        <f>IF('5-EC_CAC'!K11="","",'5-EC_CAC'!K11)</f>
        <v>1.8700000000000001E-2</v>
      </c>
      <c r="N158">
        <f>IF('5-EC_CAC'!L11="","",'5-EC_CAC'!L11)</f>
        <v>98</v>
      </c>
      <c r="O158" t="str">
        <f>IF('5-EC_CAC'!M11="","",'5-EC_CAC'!M11)</f>
        <v/>
      </c>
      <c r="P158" t="str">
        <f>IF('5-EC_CAC'!N11="","",'5-EC_CAC'!N11)</f>
        <v/>
      </c>
      <c r="Q158">
        <f>IF('5-EC_CAC'!O11="","",'5-EC_CAC'!O11)</f>
        <v>98</v>
      </c>
    </row>
    <row r="159" spans="1:18" ht="15">
      <c r="A159">
        <v>6</v>
      </c>
      <c r="B159" t="s">
        <v>111</v>
      </c>
      <c r="C159" t="str">
        <f>IF('6-MédS1'!A11="","",'6-MédS1'!A11)</f>
        <v>TOTAL URSSAF</v>
      </c>
      <c r="D159" t="str">
        <f>IF('6-MédS1'!B11="","",'6-MédS1'!B11)</f>
        <v/>
      </c>
      <c r="E159" t="str">
        <f>IF('6-MédS1'!C11="","",'6-MédS1'!C11)</f>
        <v/>
      </c>
      <c r="F159" t="str">
        <f>IF('6-MédS1'!D11="","",'6-MédS1'!D11)</f>
        <v/>
      </c>
      <c r="G159" t="str">
        <f>IF('6-MédS1'!E11="","",'6-MédS1'!E11)</f>
        <v/>
      </c>
      <c r="H159" t="str">
        <f>IF('6-MédS1'!F11="","",'6-MédS1'!F11)</f>
        <v/>
      </c>
      <c r="I159" t="e">
        <f>IF('6-MédS1'!G11="","",'6-MédS1'!G11)</f>
        <v>#DIV/0!</v>
      </c>
      <c r="J159">
        <v>6</v>
      </c>
      <c r="K159" t="str">
        <f>IF('6-MédS1'!I11="","",'6-MédS1'!I11)</f>
        <v>TOTAL URSSAF</v>
      </c>
      <c r="L159" t="str">
        <f>IF('6-MédS1'!J11="","",'6-MédS1'!J11)</f>
        <v/>
      </c>
      <c r="M159" t="str">
        <f>IF('6-MédS1'!K11="","",'6-MédS1'!K11)</f>
        <v/>
      </c>
      <c r="N159" t="str">
        <f>IF('6-MédS1'!L11="","",'6-MédS1'!L11)</f>
        <v/>
      </c>
      <c r="O159" t="str">
        <f>IF('6-MédS1'!M11="","",'6-MédS1'!M11)</f>
        <v/>
      </c>
      <c r="P159" t="str">
        <f>IF('6-MédS1'!N11="","",'6-MédS1'!N11)</f>
        <v/>
      </c>
      <c r="Q159" t="e">
        <f>IF('6-MédS1'!O11="","",'6-MédS1'!O11)</f>
        <v>#DIV/0!</v>
      </c>
    </row>
    <row r="160" spans="1:18" ht="15">
      <c r="A160">
        <v>7</v>
      </c>
      <c r="B160" t="s">
        <v>112</v>
      </c>
      <c r="C160" t="str">
        <f>IF('7-MédS2'!A11="","",'7-MédS2'!A11)</f>
        <v>TOTAL URSSAF</v>
      </c>
      <c r="D160" t="str">
        <f>IF('7-MédS2'!B11="","",'7-MédS2'!B11)</f>
        <v/>
      </c>
      <c r="E160" t="str">
        <f>IF('7-MédS2'!C11="","",'7-MédS2'!C11)</f>
        <v/>
      </c>
      <c r="F160" t="str">
        <f>IF('7-MédS2'!D11="","",'7-MédS2'!D11)</f>
        <v/>
      </c>
      <c r="G160" t="str">
        <f>IF('7-MédS2'!E11="","",'7-MédS2'!E11)</f>
        <v/>
      </c>
      <c r="H160" t="str">
        <f>IF('7-MédS2'!F11="","",'7-MédS2'!F11)</f>
        <v/>
      </c>
      <c r="I160">
        <f>IF('7-MédS2'!G11="","",'7-MédS2'!G11)</f>
        <v>172</v>
      </c>
      <c r="J160">
        <v>7</v>
      </c>
      <c r="K160" t="str">
        <f>IF('7-MédS2'!I11="","",'7-MédS2'!I11)</f>
        <v>TOTAL URSSAF</v>
      </c>
      <c r="L160" t="str">
        <f>IF('7-MédS2'!J11="","",'7-MédS2'!J11)</f>
        <v/>
      </c>
      <c r="M160" t="str">
        <f>IF('7-MédS2'!K11="","",'7-MédS2'!K11)</f>
        <v/>
      </c>
      <c r="N160" t="str">
        <f>IF('7-MédS2'!L11="","",'7-MédS2'!L11)</f>
        <v/>
      </c>
      <c r="O160" t="str">
        <f>IF('7-MédS2'!M11="","",'7-MédS2'!M11)</f>
        <v/>
      </c>
      <c r="P160" t="str">
        <f>IF('7-MédS2'!N11="","",'7-MédS2'!N11)</f>
        <v/>
      </c>
      <c r="Q160">
        <f>IF('7-MédS2'!O11="","",'7-MédS2'!O11)</f>
        <v>172</v>
      </c>
    </row>
    <row r="161" spans="1:18" ht="15">
      <c r="A161">
        <v>8</v>
      </c>
      <c r="B161" t="s">
        <v>113</v>
      </c>
      <c r="C161" t="str">
        <f>IF('8-PAM'!A11="","",'8-PAM'!A11)</f>
        <v>TOTAL URSSAF</v>
      </c>
      <c r="D161" t="str">
        <f>IF('8-PAM'!B11="","",'8-PAM'!B11)</f>
        <v/>
      </c>
      <c r="E161" t="str">
        <f>IF('8-PAM'!C11="","",'8-PAM'!C11)</f>
        <v/>
      </c>
      <c r="F161" t="str">
        <f>IF('8-PAM'!D11="","",'8-PAM'!D11)</f>
        <v/>
      </c>
      <c r="G161" t="str">
        <f>IF('8-PAM'!E11="","",'8-PAM'!E11)</f>
        <v/>
      </c>
      <c r="H161" t="str">
        <f>IF('8-PAM'!F11="","",'8-PAM'!F11)</f>
        <v/>
      </c>
      <c r="I161">
        <f>IF('8-PAM'!G11="","",'8-PAM'!G11)</f>
        <v>172</v>
      </c>
      <c r="J161">
        <v>8</v>
      </c>
      <c r="K161" t="str">
        <f>IF('8-PAM'!I11="","",'8-PAM'!I11)</f>
        <v>TOTAL URSSAF</v>
      </c>
      <c r="L161" t="str">
        <f>IF('8-PAM'!J11="","",'8-PAM'!J11)</f>
        <v/>
      </c>
      <c r="M161" t="str">
        <f>IF('8-PAM'!K11="","",'8-PAM'!K11)</f>
        <v/>
      </c>
      <c r="N161" t="str">
        <f>IF('8-PAM'!L11="","",'8-PAM'!L11)</f>
        <v/>
      </c>
      <c r="O161" t="str">
        <f>IF('8-PAM'!M11="","",'8-PAM'!M11)</f>
        <v/>
      </c>
      <c r="P161" t="str">
        <f>IF('8-PAM'!N11="","",'8-PAM'!N11)</f>
        <v/>
      </c>
      <c r="Q161">
        <f>IF('8-PAM'!O11="","",'8-PAM'!O11)</f>
        <v>172</v>
      </c>
    </row>
    <row r="162" spans="1:18" ht="15">
      <c r="A162">
        <v>9</v>
      </c>
      <c r="B162" t="s">
        <v>114</v>
      </c>
      <c r="C162" t="str">
        <f>IF('9-CIPAV'!A11="","",'9-CIPAV'!A11)</f>
        <v>Retraite de base 2</v>
      </c>
      <c r="D162">
        <f>IF('9-CIPAV'!B11="","",'9-CIPAV'!B11)</f>
        <v>5243</v>
      </c>
      <c r="E162">
        <f>IF('9-CIPAV'!C11="","",'9-CIPAV'!C11)</f>
        <v>1.8700000000000001E-2</v>
      </c>
      <c r="F162">
        <f>IF('9-CIPAV'!D11="","",'9-CIPAV'!D11)</f>
        <v>98</v>
      </c>
      <c r="G162" t="str">
        <f>IF('9-CIPAV'!E11="","",'9-CIPAV'!E11)</f>
        <v/>
      </c>
      <c r="H162" t="str">
        <f>IF('9-CIPAV'!F11="","",'9-CIPAV'!F11)</f>
        <v/>
      </c>
      <c r="I162">
        <f>IF('9-CIPAV'!G11="","",'9-CIPAV'!G11)</f>
        <v>98</v>
      </c>
      <c r="J162">
        <v>9</v>
      </c>
      <c r="K162" t="str">
        <f>IF('9-CIPAV'!I11="","",'9-CIPAV'!I11)</f>
        <v>Retraite de base 2</v>
      </c>
      <c r="L162">
        <f>IF('9-CIPAV'!J11="","",'9-CIPAV'!J11)</f>
        <v>5243</v>
      </c>
      <c r="M162">
        <f>IF('9-CIPAV'!K11="","",'9-CIPAV'!K11)</f>
        <v>1.8700000000000001E-2</v>
      </c>
      <c r="N162">
        <f>IF('9-CIPAV'!L11="","",'9-CIPAV'!L11)</f>
        <v>98</v>
      </c>
      <c r="O162" t="str">
        <f>IF('9-CIPAV'!M11="","",'9-CIPAV'!M11)</f>
        <v/>
      </c>
      <c r="P162" t="str">
        <f>IF('9-CIPAV'!N11="","",'9-CIPAV'!N11)</f>
        <v/>
      </c>
      <c r="Q162">
        <f>IF('9-CIPAV'!O11="","",'9-CIPAV'!O11)</f>
        <v>98</v>
      </c>
    </row>
    <row r="163" spans="1:18" ht="15">
      <c r="A163">
        <v>10</v>
      </c>
      <c r="B163" t="s">
        <v>115</v>
      </c>
      <c r="C163" t="str">
        <f>IF('10-BNC-SSI'!A11="","",'10-BNC-SSI'!A11)</f>
        <v>Allocations Familiales</v>
      </c>
      <c r="D163">
        <f>IF('10-BNC-SSI'!B11="","",'10-BNC-SSI'!B11)</f>
        <v>0</v>
      </c>
      <c r="E163">
        <f>IF('10-BNC-SSI'!C11="","",'10-BNC-SSI'!C11)</f>
        <v>0</v>
      </c>
      <c r="F163">
        <f>IF('10-BNC-SSI'!D11="","",'10-BNC-SSI'!D11)</f>
        <v>0</v>
      </c>
      <c r="G163" t="str">
        <f>IF('10-BNC-SSI'!E11="","",'10-BNC-SSI'!E11)</f>
        <v/>
      </c>
      <c r="H163" t="str">
        <f>IF('10-BNC-SSI'!F11="","",'10-BNC-SSI'!F11)</f>
        <v/>
      </c>
      <c r="I163">
        <f>IF('10-BNC-SSI'!G11="","",'10-BNC-SSI'!G11)</f>
        <v>0</v>
      </c>
      <c r="J163">
        <v>10</v>
      </c>
      <c r="K163" t="str">
        <f>IF('10-BNC-SSI'!I11="","",'10-BNC-SSI'!I11)</f>
        <v>Allocations Familiales</v>
      </c>
      <c r="L163">
        <f>IF('10-BNC-SSI'!J11="","",'10-BNC-SSI'!J11)</f>
        <v>0</v>
      </c>
      <c r="M163">
        <f>IF('10-BNC-SSI'!K11="","",'10-BNC-SSI'!K11)</f>
        <v>0</v>
      </c>
      <c r="N163">
        <f>IF('10-BNC-SSI'!L11="","",'10-BNC-SSI'!L11)</f>
        <v>0</v>
      </c>
      <c r="O163" t="str">
        <f>IF('10-BNC-SSI'!M11="","",'10-BNC-SSI'!M11)</f>
        <v/>
      </c>
      <c r="P163" t="str">
        <f>IF('10-BNC-SSI'!N11="","",'10-BNC-SSI'!N11)</f>
        <v/>
      </c>
      <c r="Q163">
        <f>IF('10-BNC-SSI'!O11="","",'10-BNC-SSI'!O11)</f>
        <v>0</v>
      </c>
    </row>
    <row r="164" spans="1:18" ht="15">
      <c r="A164">
        <v>11</v>
      </c>
      <c r="B164" t="s">
        <v>116</v>
      </c>
      <c r="C164" t="str">
        <f>IF('11-SF'!A11="","",'11-SF'!A11)</f>
        <v>TOTAL URSSAF</v>
      </c>
      <c r="D164" t="str">
        <f>IF('11-SF'!B11="","",'11-SF'!B11)</f>
        <v/>
      </c>
      <c r="E164" t="str">
        <f>IF('11-SF'!C11="","",'11-SF'!C11)</f>
        <v/>
      </c>
      <c r="F164" t="str">
        <f>IF('11-SF'!D11="","",'11-SF'!D11)</f>
        <v/>
      </c>
      <c r="G164" t="str">
        <f>IF('11-SF'!E11="","",'11-SF'!E11)</f>
        <v/>
      </c>
      <c r="H164" t="str">
        <f>IF('11-SF'!F11="","",'11-SF'!F11)</f>
        <v/>
      </c>
      <c r="I164">
        <f>IF('11-SF'!G11="","",'11-SF'!G11)</f>
        <v>172</v>
      </c>
      <c r="J164">
        <v>11</v>
      </c>
      <c r="K164" t="str">
        <f>IF('11-SF'!I11="","",'11-SF'!I11)</f>
        <v>TOTAL URSSAF</v>
      </c>
      <c r="L164" t="str">
        <f>IF('11-SF'!J11="","",'11-SF'!J11)</f>
        <v/>
      </c>
      <c r="M164" t="str">
        <f>IF('11-SF'!K11="","",'11-SF'!K11)</f>
        <v/>
      </c>
      <c r="N164" t="str">
        <f>IF('11-SF'!L11="","",'11-SF'!L11)</f>
        <v/>
      </c>
      <c r="O164" t="str">
        <f>IF('11-SF'!M11="","",'11-SF'!M11)</f>
        <v/>
      </c>
      <c r="P164" t="str">
        <f>IF('11-SF'!N11="","",'11-SF'!N11)</f>
        <v/>
      </c>
      <c r="Q164">
        <f>IF('11-SF'!O11="","",'11-SF'!O11)</f>
        <v>172</v>
      </c>
    </row>
    <row r="165" spans="1:18" ht="15">
      <c r="A165">
        <v>12</v>
      </c>
      <c r="B165" t="s">
        <v>117</v>
      </c>
      <c r="C165" t="str">
        <f>IF('12-VETO'!A11="","",'12-VETO'!A11)</f>
        <v>Retraite de base 2</v>
      </c>
      <c r="D165">
        <f>IF('12-VETO'!B11="","",'12-VETO'!B11)</f>
        <v>5243</v>
      </c>
      <c r="E165">
        <f>IF('12-VETO'!C11="","",'12-VETO'!C11)</f>
        <v>1.8700000000000001E-2</v>
      </c>
      <c r="F165">
        <f>IF('12-VETO'!D11="","",'12-VETO'!D11)</f>
        <v>98</v>
      </c>
      <c r="G165" t="str">
        <f>IF('12-VETO'!E11="","",'12-VETO'!E11)</f>
        <v/>
      </c>
      <c r="H165" t="str">
        <f>IF('12-VETO'!F11="","",'12-VETO'!F11)</f>
        <v/>
      </c>
      <c r="I165">
        <f>IF('12-VETO'!G11="","",'12-VETO'!G11)</f>
        <v>98</v>
      </c>
      <c r="J165">
        <v>12</v>
      </c>
      <c r="K165" t="str">
        <f>IF('12-VETO'!I11="","",'12-VETO'!I11)</f>
        <v>Retraite de base 2</v>
      </c>
      <c r="L165">
        <f>IF('12-VETO'!J11="","",'12-VETO'!J11)</f>
        <v>5243</v>
      </c>
      <c r="M165">
        <f>IF('12-VETO'!K11="","",'12-VETO'!K11)</f>
        <v>1.8700000000000001E-2</v>
      </c>
      <c r="N165">
        <f>IF('12-VETO'!L11="","",'12-VETO'!L11)</f>
        <v>98</v>
      </c>
      <c r="O165" t="str">
        <f>IF('12-VETO'!M11="","",'12-VETO'!M11)</f>
        <v/>
      </c>
      <c r="P165" t="str">
        <f>IF('12-VETO'!N11="","",'12-VETO'!N11)</f>
        <v/>
      </c>
      <c r="Q165">
        <f>IF('12-VETO'!O11="","",'12-VETO'!O11)</f>
        <v>98</v>
      </c>
    </row>
    <row r="166" spans="1:18" ht="15">
      <c r="A166">
        <v>13</v>
      </c>
      <c r="B166" t="s">
        <v>168</v>
      </c>
      <c r="C166" t="str">
        <f>IF('13-AGENT D''ASS'!A11="","",'13-AGENT D''ASS'!A11)</f>
        <v>Retraite de base 2</v>
      </c>
      <c r="D166">
        <f>IF('13-AGENT D''ASS'!B11="","",'13-AGENT D''ASS'!B11)</f>
        <v>5243</v>
      </c>
      <c r="E166">
        <f>IF('13-AGENT D''ASS'!C11="","",'13-AGENT D''ASS'!C11)</f>
        <v>1.8700000000000001E-2</v>
      </c>
      <c r="F166">
        <f>IF('13-AGENT D''ASS'!D11="","",'13-AGENT D''ASS'!D11)</f>
        <v>98</v>
      </c>
      <c r="G166" t="str">
        <f>IF('13-AGENT D''ASS'!E11="","",'13-AGENT D''ASS'!E11)</f>
        <v/>
      </c>
      <c r="H166" t="str">
        <f>IF('13-AGENT D''ASS'!F11="","",'13-AGENT D''ASS'!F11)</f>
        <v/>
      </c>
      <c r="I166">
        <f>IF('13-AGENT D''ASS'!G11="","",'13-AGENT D''ASS'!G11)</f>
        <v>98</v>
      </c>
      <c r="J166">
        <v>13</v>
      </c>
      <c r="K166" t="str">
        <f>IF('13-AGENT D''ASS'!I11="","",'13-AGENT D''ASS'!I11)</f>
        <v>Retraite de base 2</v>
      </c>
      <c r="L166">
        <f>IF('13-AGENT D''ASS'!J11="","",'13-AGENT D''ASS'!J11)</f>
        <v>5243</v>
      </c>
      <c r="M166">
        <f>IF('13-AGENT D''ASS'!K11="","",'13-AGENT D''ASS'!K11)</f>
        <v>1.8700000000000001E-2</v>
      </c>
      <c r="N166">
        <f>IF('13-AGENT D''ASS'!L11="","",'13-AGENT D''ASS'!L11)</f>
        <v>98</v>
      </c>
      <c r="O166" t="str">
        <f>IF('13-AGENT D''ASS'!M11="","",'13-AGENT D''ASS'!M11)</f>
        <v/>
      </c>
      <c r="P166" t="str">
        <f>IF('13-AGENT D''ASS'!N11="","",'13-AGENT D''ASS'!N11)</f>
        <v/>
      </c>
      <c r="Q166">
        <f>IF('13-AGENT D''ASS'!O11="","",'13-AGENT D''ASS'!O11)</f>
        <v>98</v>
      </c>
    </row>
    <row r="167" spans="1:18" ht="15">
      <c r="A167">
        <v>14</v>
      </c>
      <c r="B167" t="s">
        <v>169</v>
      </c>
      <c r="C167" t="str">
        <f>IF('14-Avocats'!A11="","",'14-Avocats'!A11)</f>
        <v>Retraite de base Proportionnelle</v>
      </c>
      <c r="D167">
        <f>IF('14-Avocats'!B11="","",'14-Avocats'!B11)</f>
        <v>0</v>
      </c>
      <c r="E167">
        <f>IF('14-Avocats'!C11="","",'14-Avocats'!C11)</f>
        <v>3.1E-2</v>
      </c>
      <c r="F167">
        <f>IF('14-Avocats'!D11="","",'14-Avocats'!D11)</f>
        <v>0</v>
      </c>
      <c r="G167" t="str">
        <f>IF('14-Avocats'!E11="","",'14-Avocats'!E11)</f>
        <v/>
      </c>
      <c r="H167" t="str">
        <f>IF('14-Avocats'!F11="","",'14-Avocats'!F11)</f>
        <v/>
      </c>
      <c r="I167">
        <f>IF('14-Avocats'!G11="","",'14-Avocats'!G11)</f>
        <v>0</v>
      </c>
      <c r="J167">
        <v>14</v>
      </c>
      <c r="K167" t="str">
        <f>IF('14-Avocats'!I11="","",'14-Avocats'!I11)</f>
        <v>Retraite de base Proportionnelle</v>
      </c>
      <c r="L167">
        <f>IF('14-Avocats'!J11="","",'14-Avocats'!J11)</f>
        <v>0</v>
      </c>
      <c r="M167">
        <f>IF('14-Avocats'!K11="","",'14-Avocats'!K11)</f>
        <v>3.1E-2</v>
      </c>
      <c r="N167">
        <f>IF('14-Avocats'!L11="","",'14-Avocats'!L11)</f>
        <v>0</v>
      </c>
      <c r="O167" t="str">
        <f>IF('14-Avocats'!M11="","",'14-Avocats'!M11)</f>
        <v/>
      </c>
      <c r="P167" t="str">
        <f>IF('14-Avocats'!N11="","",'14-Avocats'!N11)</f>
        <v/>
      </c>
      <c r="Q167">
        <f>IF('14-Avocats'!O11="","",'14-Avocats'!O11)</f>
        <v>0</v>
      </c>
    </row>
    <row r="168" spans="1:18" ht="15">
      <c r="A168">
        <v>15</v>
      </c>
      <c r="B168" t="s">
        <v>203</v>
      </c>
      <c r="C168" t="str">
        <f>IF('15-PODO'!A11="","",'15-PODO'!A11)</f>
        <v>Retraite de base 1</v>
      </c>
      <c r="D168">
        <f>IF('15-PODO'!B11="","",'15-PODO'!B11)</f>
        <v>5243</v>
      </c>
      <c r="E168">
        <f>IF('15-PODO'!C11="","",'15-PODO'!C11)</f>
        <v>8.2299999999999998E-2</v>
      </c>
      <c r="F168">
        <f>IF('15-PODO'!D11="","",'15-PODO'!D11)</f>
        <v>431</v>
      </c>
      <c r="G168" t="str">
        <f>IF('15-PODO'!E11="","",'15-PODO'!E11)</f>
        <v/>
      </c>
      <c r="H168" t="str">
        <f>IF('15-PODO'!F11="","",'15-PODO'!F11)</f>
        <v/>
      </c>
      <c r="I168">
        <f>IF('15-PODO'!G11="","",'15-PODO'!G11)</f>
        <v>431</v>
      </c>
      <c r="J168">
        <v>15</v>
      </c>
      <c r="K168" t="str">
        <f>IF('15-PODO'!I11="","",'15-PODO'!I11)</f>
        <v>Retraite de base 1</v>
      </c>
      <c r="L168">
        <f>IF('15-PODO'!J11="","",'15-PODO'!J11)</f>
        <v>5243</v>
      </c>
      <c r="M168">
        <f>IF('15-PODO'!K11="","",'15-PODO'!K11)</f>
        <v>8.2299999999999998E-2</v>
      </c>
      <c r="N168">
        <f>IF('15-PODO'!L11="","",'15-PODO'!L11)</f>
        <v>431</v>
      </c>
      <c r="O168" t="str">
        <f>IF('15-PODO'!M11="","",'15-PODO'!M11)</f>
        <v/>
      </c>
      <c r="P168" t="str">
        <f>IF('15-PODO'!N11="","",'15-PODO'!N11)</f>
        <v/>
      </c>
      <c r="Q168">
        <f>IF('15-PODO'!O11="","",'15-PODO'!O11)</f>
        <v>431</v>
      </c>
    </row>
    <row r="169" spans="1:18">
      <c r="B169" s="18" t="str">
        <f>B153</f>
        <v>LIGNE 8 : A11</v>
      </c>
      <c r="C169" s="18" t="e">
        <f>VLOOKUP($A$45,$A$154:$I$168,3,FALSE)</f>
        <v>#N/A</v>
      </c>
      <c r="D169" s="64" t="e">
        <f>VLOOKUP($A$27,$A$154:$I$168,4,FALSE)</f>
        <v>#N/A</v>
      </c>
      <c r="E169" s="46" t="e">
        <f>VLOOKUP($A$27,$A$154:$I$168,5,FALSE)</f>
        <v>#N/A</v>
      </c>
      <c r="F169" s="65" t="e">
        <f>VLOOKUP($A$27,$A$154:$I$168,6,FALSE)</f>
        <v>#N/A</v>
      </c>
      <c r="G169" s="46" t="e">
        <f>VLOOKUP($A$27,$A$154:$I$168,7,FALSE)</f>
        <v>#N/A</v>
      </c>
      <c r="H169" s="65" t="e">
        <f>VLOOKUP($A$27,$A$154:$I$168,8,FALSE)</f>
        <v>#N/A</v>
      </c>
      <c r="I169" s="65" t="e">
        <f>VLOOKUP($A$27,$A$154:$I$168,9,FALSE)</f>
        <v>#N/A</v>
      </c>
      <c r="J169" s="66" t="e">
        <f>IF(LEFT(C169,5)="TOTAL",1,0)</f>
        <v>#N/A</v>
      </c>
      <c r="K169" s="18" t="e">
        <f>VLOOKUP($A$27,$J$154:$Q$168,2,FALSE)</f>
        <v>#N/A</v>
      </c>
      <c r="L169" s="18" t="e">
        <f>VLOOKUP($A$27,$J$154:$Q$168,3,FALSE)</f>
        <v>#N/A</v>
      </c>
      <c r="M169" s="18" t="e">
        <f>VLOOKUP($A$27,$J$154:$Q$168,4,FALSE)</f>
        <v>#N/A</v>
      </c>
      <c r="N169" s="18" t="e">
        <f>VLOOKUP($A$27,$J$154:$Q$168,5,FALSE)</f>
        <v>#N/A</v>
      </c>
      <c r="O169" s="18" t="e">
        <f>VLOOKUP($A$27,$J$154:$Q$168,6,FALSE)</f>
        <v>#N/A</v>
      </c>
      <c r="P169" s="18" t="e">
        <f>VLOOKUP($A$27,$J$154:$Q$168,7,FALSE)</f>
        <v>#N/A</v>
      </c>
      <c r="Q169" s="18" t="e">
        <f>VLOOKUP($A$27,$J$154:$Q$168,8,FALSE)</f>
        <v>#N/A</v>
      </c>
      <c r="R169" s="66" t="e">
        <f>IF(LEFT(K169,5)="TOTAL",1,0)</f>
        <v>#N/A</v>
      </c>
    </row>
    <row r="171" spans="1:18">
      <c r="A171">
        <f>CAS</f>
        <v>0</v>
      </c>
      <c r="B171" t="s">
        <v>143</v>
      </c>
      <c r="D171" s="8" t="s">
        <v>19</v>
      </c>
      <c r="E171" s="8" t="s">
        <v>60</v>
      </c>
      <c r="F171" s="8" t="s">
        <v>61</v>
      </c>
      <c r="G171" s="8" t="s">
        <v>66</v>
      </c>
      <c r="H171" s="8" t="s">
        <v>64</v>
      </c>
      <c r="I171" s="8" t="s">
        <v>65</v>
      </c>
    </row>
    <row r="172" spans="1:18" ht="15">
      <c r="A172">
        <v>1</v>
      </c>
      <c r="B172" t="s">
        <v>106</v>
      </c>
      <c r="C172" t="str">
        <f>IF('1-ARTISAN'!A12="","",'1-ARTISAN'!A12)</f>
        <v>Allocations Familiales</v>
      </c>
      <c r="D172">
        <f>IF('1-ARTISAN'!B12="","",'1-ARTISAN'!B12)</f>
        <v>0</v>
      </c>
      <c r="E172">
        <f>IF('1-ARTISAN'!C12="","",'1-ARTISAN'!C12)</f>
        <v>0</v>
      </c>
      <c r="F172">
        <f>IF('1-ARTISAN'!D12="","",'1-ARTISAN'!D12)</f>
        <v>0</v>
      </c>
      <c r="G172" t="str">
        <f>IF('1-ARTISAN'!E12="","",'1-ARTISAN'!E12)</f>
        <v/>
      </c>
      <c r="H172" t="str">
        <f>IF('1-ARTISAN'!F12="","",'1-ARTISAN'!F12)</f>
        <v/>
      </c>
      <c r="I172">
        <f>IF('1-ARTISAN'!G12="","",'1-ARTISAN'!G12)</f>
        <v>0</v>
      </c>
      <c r="J172">
        <v>1</v>
      </c>
      <c r="K172" t="str">
        <f>IF('1-ARTISAN'!I12="","",'1-ARTISAN'!I12)</f>
        <v>Allocations Familiales</v>
      </c>
      <c r="L172">
        <f>IF('1-ARTISAN'!J12="","",'1-ARTISAN'!J12)</f>
        <v>0</v>
      </c>
      <c r="M172">
        <f>IF('1-ARTISAN'!K12="","",'1-ARTISAN'!K12)</f>
        <v>0</v>
      </c>
      <c r="N172">
        <f>IF('1-ARTISAN'!L12="","",'1-ARTISAN'!L12)</f>
        <v>0</v>
      </c>
      <c r="O172" t="str">
        <f>IF('1-ARTISAN'!M12="","",'1-ARTISAN'!M12)</f>
        <v/>
      </c>
      <c r="P172" t="str">
        <f>IF('1-ARTISAN'!N12="","",'1-ARTISAN'!N12)</f>
        <v/>
      </c>
      <c r="Q172">
        <f>IF('1-ARTISAN'!O12="","",'1-ARTISAN'!O12)</f>
        <v>0</v>
      </c>
    </row>
    <row r="173" spans="1:18" ht="15">
      <c r="A173">
        <v>2</v>
      </c>
      <c r="B173" t="s">
        <v>107</v>
      </c>
      <c r="C173" t="str">
        <f>IF('2-ARTISTES'!A12="","",'2-ARTISTES'!A12)</f>
        <v>TOTAL CHARGES SOCIALES</v>
      </c>
      <c r="D173" t="str">
        <f>IF('2-ARTISTES'!B12="","",'2-ARTISTES'!B12)</f>
        <v/>
      </c>
      <c r="E173" t="str">
        <f>IF('2-ARTISTES'!C12="","",'2-ARTISTES'!C12)</f>
        <v/>
      </c>
      <c r="F173" t="str">
        <f>IF('2-ARTISTES'!D12="","",'2-ARTISTES'!D12)</f>
        <v/>
      </c>
      <c r="G173" t="str">
        <f>IF('2-ARTISTES'!E12="","",'2-ARTISTES'!E12)</f>
        <v/>
      </c>
      <c r="H173" t="str">
        <f>IF('2-ARTISTES'!F12="","",'2-ARTISTES'!F12)</f>
        <v/>
      </c>
      <c r="I173">
        <f>IF('2-ARTISTES'!G12="","",'2-ARTISTES'!G12)</f>
        <v>0</v>
      </c>
      <c r="J173">
        <v>2</v>
      </c>
      <c r="K173" t="str">
        <f>IF('2-ARTISTES'!I12="","",'2-ARTISTES'!I12)</f>
        <v>TOTAL CHARGES SOCIALES</v>
      </c>
      <c r="L173" t="str">
        <f>IF('2-ARTISTES'!J12="","",'2-ARTISTES'!J12)</f>
        <v/>
      </c>
      <c r="M173" t="str">
        <f>IF('2-ARTISTES'!K12="","",'2-ARTISTES'!K12)</f>
        <v/>
      </c>
      <c r="N173" t="str">
        <f>IF('2-ARTISTES'!L12="","",'2-ARTISTES'!L12)</f>
        <v/>
      </c>
      <c r="O173" t="str">
        <f>IF('2-ARTISTES'!M12="","",'2-ARTISTES'!M12)</f>
        <v/>
      </c>
      <c r="P173" t="str">
        <f>IF('2-ARTISTES'!N12="","",'2-ARTISTES'!N12)</f>
        <v/>
      </c>
      <c r="Q173">
        <f>IF('2-ARTISTES'!O12="","",'2-ARTISTES'!O12)</f>
        <v>0</v>
      </c>
    </row>
    <row r="174" spans="1:18" ht="15">
      <c r="A174">
        <v>3</v>
      </c>
      <c r="B174" t="s">
        <v>108</v>
      </c>
      <c r="C174" t="str">
        <f>IF('3-Chir_dent'!A12="","",'3-Chir_dent'!A12)</f>
        <v>Retraite de base 1</v>
      </c>
      <c r="D174">
        <f>IF('3-Chir_dent'!B12="","",'3-Chir_dent'!B12)</f>
        <v>5243</v>
      </c>
      <c r="E174">
        <f>IF('3-Chir_dent'!C12="","",'3-Chir_dent'!C12)</f>
        <v>8.2299999999999998E-2</v>
      </c>
      <c r="F174">
        <f>IF('3-Chir_dent'!D12="","",'3-Chir_dent'!D12)</f>
        <v>431</v>
      </c>
      <c r="G174" t="str">
        <f>IF('3-Chir_dent'!E12="","",'3-Chir_dent'!E12)</f>
        <v/>
      </c>
      <c r="H174" t="str">
        <f>IF('3-Chir_dent'!F12="","",'3-Chir_dent'!F12)</f>
        <v/>
      </c>
      <c r="I174">
        <f>IF('3-Chir_dent'!G12="","",'3-Chir_dent'!G12)</f>
        <v>431</v>
      </c>
      <c r="J174">
        <v>3</v>
      </c>
      <c r="K174" t="str">
        <f>IF('3-Chir_dent'!I12="","",'3-Chir_dent'!I12)</f>
        <v>Retraite de base 1</v>
      </c>
      <c r="L174">
        <f>IF('3-Chir_dent'!J12="","",'3-Chir_dent'!J12)</f>
        <v>5243</v>
      </c>
      <c r="M174">
        <f>IF('3-Chir_dent'!K12="","",'3-Chir_dent'!K12)</f>
        <v>8.2299999999999998E-2</v>
      </c>
      <c r="N174">
        <f>IF('3-Chir_dent'!L12="","",'3-Chir_dent'!L12)</f>
        <v>431</v>
      </c>
      <c r="O174" t="str">
        <f>IF('3-Chir_dent'!M12="","",'3-Chir_dent'!M12)</f>
        <v/>
      </c>
      <c r="P174" t="str">
        <f>IF('3-Chir_dent'!N12="","",'3-Chir_dent'!N12)</f>
        <v/>
      </c>
      <c r="Q174">
        <f>IF('3-Chir_dent'!O12="","",'3-Chir_dent'!O12)</f>
        <v>431</v>
      </c>
    </row>
    <row r="175" spans="1:18" ht="15">
      <c r="A175">
        <v>4</v>
      </c>
      <c r="B175" t="s">
        <v>109</v>
      </c>
      <c r="C175" t="str">
        <f>IF('4-COMMERCANT'!A12="","",'4-COMMERCANT'!A12)</f>
        <v>Allocations Familiales</v>
      </c>
      <c r="D175">
        <f>IF('4-COMMERCANT'!B12="","",'4-COMMERCANT'!B12)</f>
        <v>0</v>
      </c>
      <c r="E175">
        <f>IF('4-COMMERCANT'!C12="","",'4-COMMERCANT'!C12)</f>
        <v>0</v>
      </c>
      <c r="F175">
        <f>IF('4-COMMERCANT'!D12="","",'4-COMMERCANT'!D12)</f>
        <v>0</v>
      </c>
      <c r="G175" t="str">
        <f>IF('4-COMMERCANT'!E12="","",'4-COMMERCANT'!E12)</f>
        <v/>
      </c>
      <c r="H175" t="str">
        <f>IF('4-COMMERCANT'!F12="","",'4-COMMERCANT'!F12)</f>
        <v/>
      </c>
      <c r="I175">
        <f>IF('4-COMMERCANT'!G12="","",'4-COMMERCANT'!G12)</f>
        <v>0</v>
      </c>
      <c r="J175">
        <v>4</v>
      </c>
      <c r="K175" t="str">
        <f>IF('4-COMMERCANT'!I12="","",'4-COMMERCANT'!I12)</f>
        <v>Allocations Familiales</v>
      </c>
      <c r="L175">
        <f>IF('4-COMMERCANT'!J12="","",'4-COMMERCANT'!J12)</f>
        <v>0</v>
      </c>
      <c r="M175">
        <f>IF('4-COMMERCANT'!K12="","",'4-COMMERCANT'!K12)</f>
        <v>0</v>
      </c>
      <c r="N175">
        <f>IF('4-COMMERCANT'!L12="","",'4-COMMERCANT'!L12)</f>
        <v>0</v>
      </c>
      <c r="O175" t="str">
        <f>IF('4-COMMERCANT'!M12="","",'4-COMMERCANT'!M12)</f>
        <v/>
      </c>
      <c r="P175" t="str">
        <f>IF('4-COMMERCANT'!N12="","",'4-COMMERCANT'!N12)</f>
        <v/>
      </c>
      <c r="Q175">
        <f>IF('4-COMMERCANT'!O12="","",'4-COMMERCANT'!O12)</f>
        <v>0</v>
      </c>
    </row>
    <row r="176" spans="1:18" ht="15">
      <c r="A176">
        <v>5</v>
      </c>
      <c r="B176" t="s">
        <v>110</v>
      </c>
      <c r="C176" t="str">
        <f>IF('5-EC_CAC'!A12="","",'5-EC_CAC'!A12)</f>
        <v>Complémentaire</v>
      </c>
      <c r="D176" t="str">
        <f>IF('5-EC_CAC'!B12="","",'5-EC_CAC'!B12)</f>
        <v>Classe A</v>
      </c>
      <c r="E176" t="str">
        <f>IF('5-EC_CAC'!C12="","",'5-EC_CAC'!C12)</f>
        <v/>
      </c>
      <c r="F176">
        <f>IF('5-EC_CAC'!D12="","",'5-EC_CAC'!D12)</f>
        <v>760</v>
      </c>
      <c r="G176" t="str">
        <f>IF('5-EC_CAC'!E12="","",'5-EC_CAC'!E12)</f>
        <v/>
      </c>
      <c r="H176" t="str">
        <f>IF('5-EC_CAC'!F12="","",'5-EC_CAC'!F12)</f>
        <v/>
      </c>
      <c r="I176">
        <f>IF('5-EC_CAC'!G12="","",'5-EC_CAC'!G12)</f>
        <v>760</v>
      </c>
      <c r="J176">
        <v>5</v>
      </c>
      <c r="K176" t="str">
        <f>IF('5-EC_CAC'!I12="","",'5-EC_CAC'!I12)</f>
        <v>Complémentaire</v>
      </c>
      <c r="L176" t="str">
        <f>IF('5-EC_CAC'!J12="","",'5-EC_CAC'!J12)</f>
        <v>Classe A</v>
      </c>
      <c r="M176" t="str">
        <f>IF('5-EC_CAC'!K12="","",'5-EC_CAC'!K12)</f>
        <v/>
      </c>
      <c r="N176">
        <f>IF('5-EC_CAC'!L12="","",'5-EC_CAC'!L12)</f>
        <v>760</v>
      </c>
      <c r="O176" t="str">
        <f>IF('5-EC_CAC'!M12="","",'5-EC_CAC'!M12)</f>
        <v/>
      </c>
      <c r="P176" t="str">
        <f>IF('5-EC_CAC'!N12="","",'5-EC_CAC'!N12)</f>
        <v/>
      </c>
      <c r="Q176">
        <f>IF('5-EC_CAC'!O12="","",'5-EC_CAC'!O12)</f>
        <v>760</v>
      </c>
    </row>
    <row r="177" spans="1:18" ht="15">
      <c r="A177">
        <v>6</v>
      </c>
      <c r="B177" t="s">
        <v>111</v>
      </c>
      <c r="C177" t="str">
        <f>IF('6-MédS1'!A12="","",'6-MédS1'!A12)</f>
        <v>Retraite de base 1</v>
      </c>
      <c r="D177">
        <f>IF('6-MédS1'!B12="","",'6-MédS1'!B12)</f>
        <v>5243</v>
      </c>
      <c r="E177">
        <f>IF('6-MédS1'!C12="","",'6-MédS1'!C12)</f>
        <v>8.2299999999999998E-2</v>
      </c>
      <c r="F177">
        <f>IF('6-MédS1'!D12="","",'6-MédS1'!D12)</f>
        <v>431</v>
      </c>
      <c r="G177" t="str">
        <f>IF('6-MédS1'!E12="","",'6-MédS1'!E12)</f>
        <v>PCPAM</v>
      </c>
      <c r="H177">
        <f>IF('6-MédS1'!F12="","",'6-MédS1'!F12)</f>
        <v>0</v>
      </c>
      <c r="I177">
        <f>IF('6-MédS1'!G12="","",'6-MédS1'!G12)</f>
        <v>431</v>
      </c>
      <c r="J177">
        <v>6</v>
      </c>
      <c r="K177" t="str">
        <f>IF('6-MédS1'!I12="","",'6-MédS1'!I12)</f>
        <v>Retraite de base 1</v>
      </c>
      <c r="L177">
        <f>IF('6-MédS1'!J12="","",'6-MédS1'!J12)</f>
        <v>5243</v>
      </c>
      <c r="M177">
        <f>IF('6-MédS1'!K12="","",'6-MédS1'!K12)</f>
        <v>8.2299999999999998E-2</v>
      </c>
      <c r="N177">
        <f>IF('6-MédS1'!L12="","",'6-MédS1'!L12)</f>
        <v>431</v>
      </c>
      <c r="O177" t="str">
        <f>IF('6-MédS1'!M12="","",'6-MédS1'!M12)</f>
        <v>PCPAM</v>
      </c>
      <c r="P177" t="e">
        <f>IF('6-MédS1'!N12="","",'6-MédS1'!N12)</f>
        <v>#DIV/0!</v>
      </c>
      <c r="Q177" t="e">
        <f>IF('6-MédS1'!O12="","",'6-MédS1'!O12)</f>
        <v>#DIV/0!</v>
      </c>
    </row>
    <row r="178" spans="1:18" ht="15">
      <c r="A178">
        <v>7</v>
      </c>
      <c r="B178" t="s">
        <v>112</v>
      </c>
      <c r="C178" t="str">
        <f>IF('7-MédS2'!A12="","",'7-MédS2'!A12)</f>
        <v>Retraite de base 1</v>
      </c>
      <c r="D178">
        <f>IF('7-MédS2'!B12="","",'7-MédS2'!B12)</f>
        <v>5243</v>
      </c>
      <c r="E178">
        <f>IF('7-MédS2'!C12="","",'7-MédS2'!C12)</f>
        <v>8.2299999999999998E-2</v>
      </c>
      <c r="F178">
        <f>IF('7-MédS2'!D12="","",'7-MédS2'!D12)</f>
        <v>431</v>
      </c>
      <c r="G178" t="str">
        <f>IF('7-MédS2'!E12="","",'7-MédS2'!E12)</f>
        <v/>
      </c>
      <c r="H178" t="str">
        <f>IF('7-MédS2'!F12="","",'7-MédS2'!F12)</f>
        <v/>
      </c>
      <c r="I178">
        <f>IF('7-MédS2'!G12="","",'7-MédS2'!G12)</f>
        <v>431</v>
      </c>
      <c r="J178">
        <v>7</v>
      </c>
      <c r="K178" t="str">
        <f>IF('7-MédS2'!I12="","",'7-MédS2'!I12)</f>
        <v>Retraite de base 1</v>
      </c>
      <c r="L178">
        <f>IF('7-MédS2'!J12="","",'7-MédS2'!J12)</f>
        <v>5243</v>
      </c>
      <c r="M178">
        <f>IF('7-MédS2'!K12="","",'7-MédS2'!K12)</f>
        <v>8.2299999999999998E-2</v>
      </c>
      <c r="N178">
        <f>IF('7-MédS2'!L12="","",'7-MédS2'!L12)</f>
        <v>431</v>
      </c>
      <c r="O178" t="str">
        <f>IF('7-MédS2'!M12="","",'7-MédS2'!M12)</f>
        <v/>
      </c>
      <c r="P178" t="str">
        <f>IF('7-MédS2'!N12="","",'7-MédS2'!N12)</f>
        <v/>
      </c>
      <c r="Q178">
        <f>IF('7-MédS2'!O12="","",'7-MédS2'!O12)</f>
        <v>431</v>
      </c>
    </row>
    <row r="179" spans="1:18" ht="15">
      <c r="A179">
        <v>8</v>
      </c>
      <c r="B179" t="s">
        <v>113</v>
      </c>
      <c r="C179" t="str">
        <f>IF('8-PAM'!A12="","",'8-PAM'!A12)</f>
        <v>Retraite de base 1</v>
      </c>
      <c r="D179">
        <f>IF('8-PAM'!B12="","",'8-PAM'!B12)</f>
        <v>5243</v>
      </c>
      <c r="E179">
        <f>IF('8-PAM'!C12="","",'8-PAM'!C12)</f>
        <v>8.2299999999999998E-2</v>
      </c>
      <c r="F179">
        <f>IF('8-PAM'!D12="","",'8-PAM'!D12)</f>
        <v>431</v>
      </c>
      <c r="G179" t="str">
        <f>IF('8-PAM'!E12="","",'8-PAM'!E12)</f>
        <v/>
      </c>
      <c r="H179" t="str">
        <f>IF('8-PAM'!F12="","",'8-PAM'!F12)</f>
        <v/>
      </c>
      <c r="I179">
        <f>IF('8-PAM'!G12="","",'8-PAM'!G12)</f>
        <v>431</v>
      </c>
      <c r="J179">
        <v>8</v>
      </c>
      <c r="K179" t="str">
        <f>IF('8-PAM'!I12="","",'8-PAM'!I12)</f>
        <v>Retraite de base 1</v>
      </c>
      <c r="L179">
        <f>IF('8-PAM'!J12="","",'8-PAM'!J12)</f>
        <v>5243</v>
      </c>
      <c r="M179">
        <f>IF('8-PAM'!K12="","",'8-PAM'!K12)</f>
        <v>8.2299999999999998E-2</v>
      </c>
      <c r="N179">
        <f>IF('8-PAM'!L12="","",'8-PAM'!L12)</f>
        <v>431</v>
      </c>
      <c r="O179" t="str">
        <f>IF('8-PAM'!M12="","",'8-PAM'!M12)</f>
        <v/>
      </c>
      <c r="P179" t="str">
        <f>IF('8-PAM'!N12="","",'8-PAM'!N12)</f>
        <v/>
      </c>
      <c r="Q179">
        <f>IF('8-PAM'!O12="","",'8-PAM'!O12)</f>
        <v>431</v>
      </c>
    </row>
    <row r="180" spans="1:18" ht="15">
      <c r="A180">
        <v>9</v>
      </c>
      <c r="B180" t="s">
        <v>114</v>
      </c>
      <c r="C180" t="str">
        <f>IF('9-CIPAV'!A12="","",'9-CIPAV'!A12)</f>
        <v>Retraite complément.Tr 1</v>
      </c>
      <c r="D180">
        <f>IF('9-CIPAV'!B12="","",'9-CIPAV'!B12)</f>
        <v>0</v>
      </c>
      <c r="E180">
        <f>IF('9-CIPAV'!C12="","",'9-CIPAV'!C12)</f>
        <v>0.09</v>
      </c>
      <c r="F180">
        <f>IF('9-CIPAV'!D12="","",'9-CIPAV'!D12)</f>
        <v>0</v>
      </c>
      <c r="G180" t="str">
        <f>IF('9-CIPAV'!E12="","",'9-CIPAV'!E12)</f>
        <v/>
      </c>
      <c r="H180" t="str">
        <f>IF('9-CIPAV'!F12="","",'9-CIPAV'!F12)</f>
        <v/>
      </c>
      <c r="I180">
        <f>IF('9-CIPAV'!G12="","",'9-CIPAV'!G12)</f>
        <v>0</v>
      </c>
      <c r="J180">
        <v>9</v>
      </c>
      <c r="K180" t="str">
        <f>IF('9-CIPAV'!I12="","",'9-CIPAV'!I12)</f>
        <v>Retraite complément.Tr 1</v>
      </c>
      <c r="L180">
        <f>IF('9-CIPAV'!J12="","",'9-CIPAV'!J12)</f>
        <v>0</v>
      </c>
      <c r="M180">
        <f>IF('9-CIPAV'!K12="","",'9-CIPAV'!K12)</f>
        <v>0.09</v>
      </c>
      <c r="N180">
        <f>IF('9-CIPAV'!L12="","",'9-CIPAV'!L12)</f>
        <v>0</v>
      </c>
      <c r="O180" t="str">
        <f>IF('9-CIPAV'!M12="","",'9-CIPAV'!M12)</f>
        <v/>
      </c>
      <c r="P180" t="str">
        <f>IF('9-CIPAV'!N12="","",'9-CIPAV'!N12)</f>
        <v/>
      </c>
      <c r="Q180">
        <f>IF('9-CIPAV'!O12="","",'9-CIPAV'!O12)</f>
        <v>0</v>
      </c>
    </row>
    <row r="181" spans="1:18" ht="15">
      <c r="A181">
        <v>10</v>
      </c>
      <c r="B181" t="s">
        <v>115</v>
      </c>
      <c r="C181" t="str">
        <f>IF('10-BNC-SSI'!A12="","",'10-BNC-SSI'!A12)</f>
        <v>CFP</v>
      </c>
      <c r="D181">
        <f>IF('10-BNC-SSI'!B12="","",'10-BNC-SSI'!B12)</f>
        <v>46368</v>
      </c>
      <c r="E181">
        <f>IF('10-BNC-SSI'!C12="","",'10-BNC-SSI'!C12)</f>
        <v>2.5000000000000001E-3</v>
      </c>
      <c r="F181">
        <f>IF('10-BNC-SSI'!D12="","",'10-BNC-SSI'!D12)</f>
        <v>116</v>
      </c>
      <c r="G181" t="str">
        <f>IF('10-BNC-SSI'!E12="","",'10-BNC-SSI'!E12)</f>
        <v/>
      </c>
      <c r="H181" t="str">
        <f>IF('10-BNC-SSI'!F12="","",'10-BNC-SSI'!F12)</f>
        <v/>
      </c>
      <c r="I181">
        <f>IF('10-BNC-SSI'!G12="","",'10-BNC-SSI'!G12)</f>
        <v>116</v>
      </c>
      <c r="J181">
        <v>10</v>
      </c>
      <c r="K181" t="str">
        <f>IF('10-BNC-SSI'!I12="","",'10-BNC-SSI'!I12)</f>
        <v>CFP</v>
      </c>
      <c r="L181">
        <f>IF('10-BNC-SSI'!J12="","",'10-BNC-SSI'!J12)</f>
        <v>46368</v>
      </c>
      <c r="M181">
        <f>IF('10-BNC-SSI'!K12="","",'10-BNC-SSI'!K12)</f>
        <v>2.5000000000000001E-3</v>
      </c>
      <c r="N181">
        <f>IF('10-BNC-SSI'!L12="","",'10-BNC-SSI'!L12)</f>
        <v>116</v>
      </c>
      <c r="O181" t="str">
        <f>IF('10-BNC-SSI'!M12="","",'10-BNC-SSI'!M12)</f>
        <v/>
      </c>
      <c r="P181" t="str">
        <f>IF('10-BNC-SSI'!N12="","",'10-BNC-SSI'!N12)</f>
        <v/>
      </c>
      <c r="Q181">
        <f>IF('10-BNC-SSI'!O12="","",'10-BNC-SSI'!O12)</f>
        <v>116</v>
      </c>
    </row>
    <row r="182" spans="1:18" ht="15">
      <c r="A182">
        <v>11</v>
      </c>
      <c r="B182" t="s">
        <v>116</v>
      </c>
      <c r="C182" t="str">
        <f>IF('11-SF'!A12="","",'11-SF'!A12)</f>
        <v>Retraite de base 1</v>
      </c>
      <c r="D182">
        <f>IF('11-SF'!B12="","",'11-SF'!B12)</f>
        <v>5243</v>
      </c>
      <c r="E182">
        <f>IF('11-SF'!C12="","",'11-SF'!C12)</f>
        <v>8.2299999999999998E-2</v>
      </c>
      <c r="F182">
        <f>IF('11-SF'!D12="","",'11-SF'!D12)</f>
        <v>431</v>
      </c>
      <c r="G182" t="str">
        <f>IF('11-SF'!E12="","",'11-SF'!E12)</f>
        <v/>
      </c>
      <c r="H182" t="str">
        <f>IF('11-SF'!F12="","",'11-SF'!F12)</f>
        <v/>
      </c>
      <c r="I182">
        <f>IF('11-SF'!G12="","",'11-SF'!G12)</f>
        <v>431</v>
      </c>
      <c r="J182">
        <v>11</v>
      </c>
      <c r="K182" t="str">
        <f>IF('11-SF'!I12="","",'11-SF'!I12)</f>
        <v>Retraite de base 1</v>
      </c>
      <c r="L182">
        <f>IF('11-SF'!J12="","",'11-SF'!J12)</f>
        <v>5243</v>
      </c>
      <c r="M182">
        <f>IF('11-SF'!K12="","",'11-SF'!K12)</f>
        <v>8.2299999999999998E-2</v>
      </c>
      <c r="N182">
        <f>IF('11-SF'!L12="","",'11-SF'!L12)</f>
        <v>431</v>
      </c>
      <c r="O182" t="str">
        <f>IF('11-SF'!M12="","",'11-SF'!M12)</f>
        <v/>
      </c>
      <c r="P182" t="str">
        <f>IF('11-SF'!N12="","",'11-SF'!N12)</f>
        <v/>
      </c>
      <c r="Q182">
        <f>IF('11-SF'!O12="","",'11-SF'!O12)</f>
        <v>431</v>
      </c>
    </row>
    <row r="183" spans="1:18" ht="15">
      <c r="A183">
        <v>12</v>
      </c>
      <c r="B183" t="s">
        <v>117</v>
      </c>
      <c r="C183" t="str">
        <f>IF('12-VETO'!A12="","",'12-VETO'!A12)</f>
        <v>Complémentaire</v>
      </c>
      <c r="D183" t="str">
        <f>IF('12-VETO'!B12="","",'12-VETO'!B12)</f>
        <v>Super Spéciale I</v>
      </c>
      <c r="E183" t="str">
        <f>IF('12-VETO'!C12="","",'12-VETO'!C12)</f>
        <v/>
      </c>
      <c r="F183">
        <f>IF('12-VETO'!D12="","",'12-VETO'!D12)</f>
        <v>1141</v>
      </c>
      <c r="G183" t="str">
        <f>IF('12-VETO'!E12="","",'12-VETO'!E12)</f>
        <v/>
      </c>
      <c r="H183" t="str">
        <f>IF('12-VETO'!F12="","",'12-VETO'!F12)</f>
        <v/>
      </c>
      <c r="I183">
        <f>IF('12-VETO'!G12="","",'12-VETO'!G12)</f>
        <v>1141</v>
      </c>
      <c r="J183">
        <v>12</v>
      </c>
      <c r="K183" t="str">
        <f>IF('12-VETO'!I12="","",'12-VETO'!I12)</f>
        <v>Complémentaire</v>
      </c>
      <c r="L183" t="str">
        <f>IF('12-VETO'!J12="","",'12-VETO'!J12)</f>
        <v>Super Spéciale I</v>
      </c>
      <c r="M183" t="str">
        <f>IF('12-VETO'!K12="","",'12-VETO'!K12)</f>
        <v/>
      </c>
      <c r="N183">
        <f>IF('12-VETO'!L12="","",'12-VETO'!L12)</f>
        <v>1141</v>
      </c>
      <c r="O183" t="str">
        <f>IF('12-VETO'!M12="","",'12-VETO'!M12)</f>
        <v/>
      </c>
      <c r="P183" t="str">
        <f>IF('12-VETO'!N12="","",'12-VETO'!N12)</f>
        <v/>
      </c>
      <c r="Q183">
        <f>IF('12-VETO'!O12="","",'12-VETO'!O12)</f>
        <v>1141</v>
      </c>
    </row>
    <row r="184" spans="1:18" ht="15">
      <c r="A184">
        <v>13</v>
      </c>
      <c r="B184" t="s">
        <v>168</v>
      </c>
      <c r="C184" t="str">
        <f>IF('13-AGENT D''ASS'!A12="","",'13-AGENT D''ASS'!A12)</f>
        <v>TOTAL RETRAITE DE BASE</v>
      </c>
      <c r="D184" t="str">
        <f>IF('13-AGENT D''ASS'!B12="","",'13-AGENT D''ASS'!B12)</f>
        <v/>
      </c>
      <c r="E184" t="str">
        <f>IF('13-AGENT D''ASS'!C12="","",'13-AGENT D''ASS'!C12)</f>
        <v/>
      </c>
      <c r="F184" t="str">
        <f>IF('13-AGENT D''ASS'!D12="","",'13-AGENT D''ASS'!D12)</f>
        <v/>
      </c>
      <c r="G184" t="str">
        <f>IF('13-AGENT D''ASS'!E12="","",'13-AGENT D''ASS'!E12)</f>
        <v/>
      </c>
      <c r="H184" t="str">
        <f>IF('13-AGENT D''ASS'!F12="","",'13-AGENT D''ASS'!F12)</f>
        <v/>
      </c>
      <c r="I184">
        <f>IF('13-AGENT D''ASS'!G12="","",'13-AGENT D''ASS'!G12)</f>
        <v>529</v>
      </c>
      <c r="J184">
        <v>13</v>
      </c>
      <c r="K184" t="str">
        <f>IF('13-AGENT D''ASS'!I12="","",'13-AGENT D''ASS'!I12)</f>
        <v>TOTAL RETRAITE DE BASE</v>
      </c>
      <c r="L184" t="str">
        <f>IF('13-AGENT D''ASS'!J12="","",'13-AGENT D''ASS'!J12)</f>
        <v/>
      </c>
      <c r="M184" t="str">
        <f>IF('13-AGENT D''ASS'!K12="","",'13-AGENT D''ASS'!K12)</f>
        <v/>
      </c>
      <c r="N184" t="str">
        <f>IF('13-AGENT D''ASS'!L12="","",'13-AGENT D''ASS'!L12)</f>
        <v/>
      </c>
      <c r="O184" t="str">
        <f>IF('13-AGENT D''ASS'!M12="","",'13-AGENT D''ASS'!M12)</f>
        <v/>
      </c>
      <c r="P184" t="str">
        <f>IF('13-AGENT D''ASS'!N12="","",'13-AGENT D''ASS'!N12)</f>
        <v/>
      </c>
      <c r="Q184">
        <f>IF('13-AGENT D''ASS'!O12="","",'13-AGENT D''ASS'!O12)</f>
        <v>529</v>
      </c>
    </row>
    <row r="185" spans="1:18" ht="15">
      <c r="A185">
        <v>14</v>
      </c>
      <c r="B185" t="s">
        <v>169</v>
      </c>
      <c r="C185" t="str">
        <f>IF('14-Avocats'!A12="","",'14-Avocats'!A12)</f>
        <v>Invalidité-décès</v>
      </c>
      <c r="D185" t="str">
        <f>IF('14-Avocats'!B12="","",'14-Avocats'!B12)</f>
        <v>0è année ou +</v>
      </c>
      <c r="E185" t="str">
        <f>IF('14-Avocats'!C12="","",'14-Avocats'!C12)</f>
        <v/>
      </c>
      <c r="F185" t="e">
        <f>IF('14-Avocats'!D12="","",'14-Avocats'!D12)</f>
        <v>#N/A</v>
      </c>
      <c r="G185" t="str">
        <f>IF('14-Avocats'!E12="","",'14-Avocats'!E12)</f>
        <v/>
      </c>
      <c r="H185" t="str">
        <f>IF('14-Avocats'!F12="","",'14-Avocats'!F12)</f>
        <v/>
      </c>
      <c r="I185" t="e">
        <f>IF('14-Avocats'!G12="","",'14-Avocats'!G12)</f>
        <v>#N/A</v>
      </c>
      <c r="J185">
        <v>14</v>
      </c>
      <c r="K185" t="str">
        <f>IF('14-Avocats'!I12="","",'14-Avocats'!I12)</f>
        <v>Invalidité-décès</v>
      </c>
      <c r="L185" t="str">
        <f>IF('14-Avocats'!J12="","",'14-Avocats'!J12)</f>
        <v>0è année ou +</v>
      </c>
      <c r="M185" t="str">
        <f>IF('14-Avocats'!K12="","",'14-Avocats'!K12)</f>
        <v/>
      </c>
      <c r="N185" t="e">
        <f>IF('14-Avocats'!L12="","",'14-Avocats'!L12)</f>
        <v>#N/A</v>
      </c>
      <c r="O185" t="str">
        <f>IF('14-Avocats'!M12="","",'14-Avocats'!M12)</f>
        <v/>
      </c>
      <c r="P185" t="str">
        <f>IF('14-Avocats'!N12="","",'14-Avocats'!N12)</f>
        <v/>
      </c>
      <c r="Q185" t="e">
        <f>IF('14-Avocats'!O12="","",'14-Avocats'!O12)</f>
        <v>#N/A</v>
      </c>
    </row>
    <row r="186" spans="1:18" ht="15">
      <c r="A186">
        <v>15</v>
      </c>
      <c r="B186" t="s">
        <v>203</v>
      </c>
      <c r="C186" t="str">
        <f>IF('15-PODO'!A12="","",'15-PODO'!A12)</f>
        <v>Retraite de base 2</v>
      </c>
      <c r="D186">
        <f>IF('15-PODO'!B12="","",'15-PODO'!B12)</f>
        <v>5243</v>
      </c>
      <c r="E186">
        <f>IF('15-PODO'!C12="","",'15-PODO'!C12)</f>
        <v>1.8700000000000001E-2</v>
      </c>
      <c r="F186">
        <f>IF('15-PODO'!D12="","",'15-PODO'!D12)</f>
        <v>98</v>
      </c>
      <c r="G186" t="str">
        <f>IF('15-PODO'!E12="","",'15-PODO'!E12)</f>
        <v/>
      </c>
      <c r="H186" t="str">
        <f>IF('15-PODO'!F12="","",'15-PODO'!F12)</f>
        <v/>
      </c>
      <c r="I186">
        <f>IF('15-PODO'!G12="","",'15-PODO'!G12)</f>
        <v>98</v>
      </c>
      <c r="J186">
        <v>15</v>
      </c>
      <c r="K186" t="str">
        <f>IF('15-PODO'!I12="","",'15-PODO'!I12)</f>
        <v>Retraite de base 2</v>
      </c>
      <c r="L186">
        <f>IF('15-PODO'!J12="","",'15-PODO'!J12)</f>
        <v>5243</v>
      </c>
      <c r="M186">
        <f>IF('15-PODO'!K12="","",'15-PODO'!K12)</f>
        <v>1.8700000000000001E-2</v>
      </c>
      <c r="N186">
        <f>IF('15-PODO'!L12="","",'15-PODO'!L12)</f>
        <v>98</v>
      </c>
      <c r="O186" t="str">
        <f>IF('15-PODO'!M12="","",'15-PODO'!M12)</f>
        <v/>
      </c>
      <c r="P186" t="str">
        <f>IF('15-PODO'!N12="","",'15-PODO'!N12)</f>
        <v/>
      </c>
      <c r="Q186">
        <f>IF('15-PODO'!O12="","",'15-PODO'!O12)</f>
        <v>98</v>
      </c>
    </row>
    <row r="187" spans="1:18">
      <c r="B187" s="18" t="str">
        <f>B171</f>
        <v>LIGNE 9 : A12</v>
      </c>
      <c r="C187" s="18" t="e">
        <f>VLOOKUP($A$45,$A$172:$I$186,3,FALSE)</f>
        <v>#N/A</v>
      </c>
      <c r="D187" s="64" t="e">
        <f>VLOOKUP($A$27,$A$172:$I$186,4,FALSE)</f>
        <v>#N/A</v>
      </c>
      <c r="E187" s="46" t="e">
        <f>VLOOKUP($A$27,$A$172:$I$186,5,FALSE)</f>
        <v>#N/A</v>
      </c>
      <c r="F187" s="65" t="e">
        <f>VLOOKUP($A$27,$A$172:$I$186,6,FALSE)</f>
        <v>#N/A</v>
      </c>
      <c r="G187" s="46" t="e">
        <f>VLOOKUP($A$27,$A$172:$I$186,7,FALSE)</f>
        <v>#N/A</v>
      </c>
      <c r="H187" s="65" t="e">
        <f>VLOOKUP($A$27,$A$172:$I$186,8,FALSE)</f>
        <v>#N/A</v>
      </c>
      <c r="I187" s="65" t="e">
        <f>VLOOKUP($A$27,$A$172:$I$186,9,FALSE)</f>
        <v>#N/A</v>
      </c>
      <c r="J187" s="66" t="e">
        <f>IF(LEFT(C187,5)="TOTAL",1,0)</f>
        <v>#N/A</v>
      </c>
      <c r="K187" s="18" t="e">
        <f>VLOOKUP($A$27,$J$172:$Q$186,2,FALSE)</f>
        <v>#N/A</v>
      </c>
      <c r="L187" s="18" t="e">
        <f>VLOOKUP($A$27,$J$172:$Q$186,3,FALSE)</f>
        <v>#N/A</v>
      </c>
      <c r="M187" s="18" t="e">
        <f>VLOOKUP($A$27,$J$172:$Q$186,4,FALSE)</f>
        <v>#N/A</v>
      </c>
      <c r="N187" s="18" t="e">
        <f>VLOOKUP($A$27,$J$172:$Q$186,5,FALSE)</f>
        <v>#N/A</v>
      </c>
      <c r="O187" s="18" t="e">
        <f>VLOOKUP($A$27,$J$172:$Q$186,6,FALSE)</f>
        <v>#N/A</v>
      </c>
      <c r="P187" s="18" t="e">
        <f>VLOOKUP($A$27,$J$172:$Q$186,7,FALSE)</f>
        <v>#N/A</v>
      </c>
      <c r="Q187" s="18" t="e">
        <f>VLOOKUP($A$27,$J$172:$Q$186,8,FALSE)</f>
        <v>#N/A</v>
      </c>
      <c r="R187" s="66" t="e">
        <f>IF(LEFT(K187,5)="TOTAL",1,0)</f>
        <v>#N/A</v>
      </c>
    </row>
    <row r="189" spans="1:18">
      <c r="A189">
        <f>CAS</f>
        <v>0</v>
      </c>
      <c r="B189" t="s">
        <v>144</v>
      </c>
      <c r="D189" s="8" t="s">
        <v>19</v>
      </c>
      <c r="E189" s="8" t="s">
        <v>60</v>
      </c>
      <c r="F189" s="8" t="s">
        <v>61</v>
      </c>
      <c r="G189" s="8" t="s">
        <v>66</v>
      </c>
      <c r="H189" s="8" t="s">
        <v>64</v>
      </c>
      <c r="I189" s="8" t="s">
        <v>65</v>
      </c>
    </row>
    <row r="190" spans="1:18" ht="15">
      <c r="A190">
        <v>1</v>
      </c>
      <c r="B190" t="s">
        <v>106</v>
      </c>
      <c r="C190" t="str">
        <f>IF('1-ARTISAN'!A13="","",'1-ARTISAN'!A13)</f>
        <v>CFP</v>
      </c>
      <c r="D190">
        <f>IF('1-ARTISAN'!B13="","",'1-ARTISAN'!B13)</f>
        <v>46368</v>
      </c>
      <c r="E190">
        <f>IF('1-ARTISAN'!C13="","",'1-ARTISAN'!C13)</f>
        <v>2.8999999999999998E-3</v>
      </c>
      <c r="F190">
        <f>IF('1-ARTISAN'!D13="","",'1-ARTISAN'!D13)</f>
        <v>134</v>
      </c>
      <c r="G190" t="str">
        <f>IF('1-ARTISAN'!E13="","",'1-ARTISAN'!E13)</f>
        <v/>
      </c>
      <c r="H190" t="str">
        <f>IF('1-ARTISAN'!F13="","",'1-ARTISAN'!F13)</f>
        <v/>
      </c>
      <c r="I190">
        <f>IF('1-ARTISAN'!G13="","",'1-ARTISAN'!G13)</f>
        <v>134</v>
      </c>
      <c r="J190">
        <v>1</v>
      </c>
      <c r="K190" t="str">
        <f>IF('1-ARTISAN'!I13="","",'1-ARTISAN'!I13)</f>
        <v>CFP</v>
      </c>
      <c r="L190">
        <f>IF('1-ARTISAN'!J13="","",'1-ARTISAN'!J13)</f>
        <v>46368</v>
      </c>
      <c r="M190">
        <f>IF('1-ARTISAN'!K13="","",'1-ARTISAN'!K13)</f>
        <v>2.8999999999999998E-3</v>
      </c>
      <c r="N190">
        <f>IF('1-ARTISAN'!L13="","",'1-ARTISAN'!L13)</f>
        <v>134</v>
      </c>
      <c r="O190" t="str">
        <f>IF('1-ARTISAN'!M13="","",'1-ARTISAN'!M13)</f>
        <v/>
      </c>
      <c r="P190" t="str">
        <f>IF('1-ARTISAN'!N13="","",'1-ARTISAN'!N13)</f>
        <v/>
      </c>
      <c r="Q190">
        <f>IF('1-ARTISAN'!O13="","",'1-ARTISAN'!O13)</f>
        <v>134</v>
      </c>
    </row>
    <row r="191" spans="1:18" ht="15">
      <c r="A191">
        <v>2</v>
      </c>
      <c r="B191" t="s">
        <v>107</v>
      </c>
      <c r="C191" s="67" t="str">
        <f>""</f>
        <v/>
      </c>
      <c r="D191" s="67" t="str">
        <f>""</f>
        <v/>
      </c>
      <c r="E191" s="67" t="str">
        <f>""</f>
        <v/>
      </c>
      <c r="F191" s="67" t="str">
        <f>""</f>
        <v/>
      </c>
      <c r="G191" s="67" t="str">
        <f>""</f>
        <v/>
      </c>
      <c r="H191" s="67" t="str">
        <f>""</f>
        <v/>
      </c>
      <c r="I191" s="67" t="str">
        <f>""</f>
        <v/>
      </c>
      <c r="J191" s="67">
        <v>2</v>
      </c>
      <c r="K191" s="67" t="str">
        <f>""</f>
        <v/>
      </c>
      <c r="L191" s="67" t="str">
        <f>""</f>
        <v/>
      </c>
      <c r="M191" s="67" t="str">
        <f>""</f>
        <v/>
      </c>
      <c r="N191" s="67" t="str">
        <f>""</f>
        <v/>
      </c>
      <c r="O191" s="67" t="str">
        <f>""</f>
        <v/>
      </c>
      <c r="P191" s="67" t="str">
        <f>""</f>
        <v/>
      </c>
      <c r="Q191" s="67" t="str">
        <f>""</f>
        <v/>
      </c>
    </row>
    <row r="192" spans="1:18" ht="15">
      <c r="A192">
        <v>3</v>
      </c>
      <c r="B192" t="s">
        <v>108</v>
      </c>
      <c r="C192" t="str">
        <f>IF('3-Chir_dent'!A13="","",'3-Chir_dent'!A13)</f>
        <v>Retraite de base 2</v>
      </c>
      <c r="D192">
        <f>IF('3-Chir_dent'!B13="","",'3-Chir_dent'!B13)</f>
        <v>5243</v>
      </c>
      <c r="E192">
        <f>IF('3-Chir_dent'!C13="","",'3-Chir_dent'!C13)</f>
        <v>1.8700000000000001E-2</v>
      </c>
      <c r="F192">
        <f>IF('3-Chir_dent'!D13="","",'3-Chir_dent'!D13)</f>
        <v>98</v>
      </c>
      <c r="G192" t="str">
        <f>IF('3-Chir_dent'!E13="","",'3-Chir_dent'!E13)</f>
        <v/>
      </c>
      <c r="H192" t="str">
        <f>IF('3-Chir_dent'!F13="","",'3-Chir_dent'!F13)</f>
        <v/>
      </c>
      <c r="I192">
        <f>IF('3-Chir_dent'!G13="","",'3-Chir_dent'!G13)</f>
        <v>98</v>
      </c>
      <c r="J192">
        <v>3</v>
      </c>
      <c r="K192" t="str">
        <f>IF('3-Chir_dent'!I13="","",'3-Chir_dent'!I13)</f>
        <v>Retraite de base 2</v>
      </c>
      <c r="L192">
        <f>IF('3-Chir_dent'!J13="","",'3-Chir_dent'!J13)</f>
        <v>5243</v>
      </c>
      <c r="M192">
        <f>IF('3-Chir_dent'!K13="","",'3-Chir_dent'!K13)</f>
        <v>1.8700000000000001E-2</v>
      </c>
      <c r="N192">
        <f>IF('3-Chir_dent'!L13="","",'3-Chir_dent'!L13)</f>
        <v>98</v>
      </c>
      <c r="O192" t="str">
        <f>IF('3-Chir_dent'!M13="","",'3-Chir_dent'!M13)</f>
        <v/>
      </c>
      <c r="P192" t="str">
        <f>IF('3-Chir_dent'!N13="","",'3-Chir_dent'!N13)</f>
        <v/>
      </c>
      <c r="Q192">
        <f>IF('3-Chir_dent'!O13="","",'3-Chir_dent'!O13)</f>
        <v>98</v>
      </c>
    </row>
    <row r="193" spans="1:18" ht="15">
      <c r="A193">
        <v>4</v>
      </c>
      <c r="B193" t="s">
        <v>109</v>
      </c>
      <c r="C193" t="str">
        <f>IF('4-COMMERCANT'!A13="","",'4-COMMERCANT'!A13)</f>
        <v>CFP</v>
      </c>
      <c r="D193">
        <f>IF('4-COMMERCANT'!B13="","",'4-COMMERCANT'!B13)</f>
        <v>46368</v>
      </c>
      <c r="E193">
        <f>IF('4-COMMERCANT'!C13="","",'4-COMMERCANT'!C13)</f>
        <v>2.5000000000000001E-3</v>
      </c>
      <c r="F193">
        <f>IF('4-COMMERCANT'!D13="","",'4-COMMERCANT'!D13)</f>
        <v>116</v>
      </c>
      <c r="G193" t="str">
        <f>IF('4-COMMERCANT'!E13="","",'4-COMMERCANT'!E13)</f>
        <v/>
      </c>
      <c r="H193" t="str">
        <f>IF('4-COMMERCANT'!F13="","",'4-COMMERCANT'!F13)</f>
        <v/>
      </c>
      <c r="I193">
        <f>IF('4-COMMERCANT'!G13="","",'4-COMMERCANT'!G13)</f>
        <v>116</v>
      </c>
      <c r="J193">
        <v>4</v>
      </c>
      <c r="K193" t="str">
        <f>IF('4-COMMERCANT'!I13="","",'4-COMMERCANT'!I13)</f>
        <v>CFP</v>
      </c>
      <c r="L193">
        <f>IF('4-COMMERCANT'!J13="","",'4-COMMERCANT'!J13)</f>
        <v>46368</v>
      </c>
      <c r="M193">
        <f>IF('4-COMMERCANT'!K13="","",'4-COMMERCANT'!K13)</f>
        <v>2.5000000000000001E-3</v>
      </c>
      <c r="N193">
        <f>IF('4-COMMERCANT'!L13="","",'4-COMMERCANT'!L13)</f>
        <v>116</v>
      </c>
      <c r="O193" t="str">
        <f>IF('4-COMMERCANT'!M13="","",'4-COMMERCANT'!M13)</f>
        <v/>
      </c>
      <c r="P193" t="str">
        <f>IF('4-COMMERCANT'!N13="","",'4-COMMERCANT'!N13)</f>
        <v/>
      </c>
      <c r="Q193">
        <f>IF('4-COMMERCANT'!O13="","",'4-COMMERCANT'!O13)</f>
        <v>116</v>
      </c>
    </row>
    <row r="194" spans="1:18" ht="15">
      <c r="A194">
        <v>5</v>
      </c>
      <c r="B194" t="s">
        <v>110</v>
      </c>
      <c r="C194" t="str">
        <f>IF('5-EC_CAC'!A13="","",'5-EC_CAC'!A13)</f>
        <v>Invalidité-décès</v>
      </c>
      <c r="D194" t="str">
        <f>IF('5-EC_CAC'!B13="","",'5-EC_CAC'!B13)</f>
        <v>Classe 1</v>
      </c>
      <c r="E194" t="str">
        <f>IF('5-EC_CAC'!C13="","",'5-EC_CAC'!C13)</f>
        <v/>
      </c>
      <c r="F194">
        <f>IF('5-EC_CAC'!D13="","",'5-EC_CAC'!D13)</f>
        <v>288</v>
      </c>
      <c r="G194" t="str">
        <f>IF('5-EC_CAC'!E13="","",'5-EC_CAC'!E13)</f>
        <v/>
      </c>
      <c r="H194" t="str">
        <f>IF('5-EC_CAC'!F13="","",'5-EC_CAC'!F13)</f>
        <v/>
      </c>
      <c r="I194">
        <f>IF('5-EC_CAC'!G13="","",'5-EC_CAC'!G13)</f>
        <v>288</v>
      </c>
      <c r="J194">
        <v>5</v>
      </c>
      <c r="K194" t="str">
        <f>IF('5-EC_CAC'!I13="","",'5-EC_CAC'!I13)</f>
        <v>Invalidité-décès</v>
      </c>
      <c r="L194" t="str">
        <f>IF('5-EC_CAC'!J13="","",'5-EC_CAC'!J13)</f>
        <v>Classe 1</v>
      </c>
      <c r="M194" t="str">
        <f>IF('5-EC_CAC'!K13="","",'5-EC_CAC'!K13)</f>
        <v/>
      </c>
      <c r="N194">
        <f>IF('5-EC_CAC'!L13="","",'5-EC_CAC'!L13)</f>
        <v>288</v>
      </c>
      <c r="O194" t="str">
        <f>IF('5-EC_CAC'!M13="","",'5-EC_CAC'!M13)</f>
        <v/>
      </c>
      <c r="P194" t="str">
        <f>IF('5-EC_CAC'!N13="","",'5-EC_CAC'!N13)</f>
        <v/>
      </c>
      <c r="Q194">
        <f>IF('5-EC_CAC'!O13="","",'5-EC_CAC'!O13)</f>
        <v>288</v>
      </c>
    </row>
    <row r="195" spans="1:18" ht="15">
      <c r="A195">
        <v>6</v>
      </c>
      <c r="B195" t="s">
        <v>111</v>
      </c>
      <c r="C195" t="str">
        <f>IF('6-MédS1'!A13="","",'6-MédS1'!A13)</f>
        <v>Retraite de base 2</v>
      </c>
      <c r="D195">
        <f>IF('6-MédS1'!B13="","",'6-MédS1'!B13)</f>
        <v>5243</v>
      </c>
      <c r="E195">
        <f>IF('6-MédS1'!C13="","",'6-MédS1'!C13)</f>
        <v>1.8700000000000001E-2</v>
      </c>
      <c r="F195">
        <f>IF('6-MédS1'!D13="","",'6-MédS1'!D13)</f>
        <v>98</v>
      </c>
      <c r="G195" t="str">
        <f>IF('6-MédS1'!E13="","",'6-MédS1'!E13)</f>
        <v>PCPAM</v>
      </c>
      <c r="H195">
        <f>IF('6-MédS1'!F13="","",'6-MédS1'!F13)</f>
        <v>0</v>
      </c>
      <c r="I195">
        <f>IF('6-MédS1'!G13="","",'6-MédS1'!G13)</f>
        <v>98</v>
      </c>
      <c r="J195">
        <v>6</v>
      </c>
      <c r="K195" t="str">
        <f>IF('6-MédS1'!I13="","",'6-MédS1'!I13)</f>
        <v>Retraite de base 2</v>
      </c>
      <c r="L195">
        <f>IF('6-MédS1'!J13="","",'6-MédS1'!J13)</f>
        <v>5243</v>
      </c>
      <c r="M195">
        <f>IF('6-MédS1'!K13="","",'6-MédS1'!K13)</f>
        <v>1.8700000000000001E-2</v>
      </c>
      <c r="N195">
        <f>IF('6-MédS1'!L13="","",'6-MédS1'!L13)</f>
        <v>98</v>
      </c>
      <c r="O195" t="str">
        <f>IF('6-MédS1'!M13="","",'6-MédS1'!M13)</f>
        <v>PCPAM</v>
      </c>
      <c r="P195" t="e">
        <f>IF('6-MédS1'!N13="","",'6-MédS1'!N13)</f>
        <v>#DIV/0!</v>
      </c>
      <c r="Q195" t="e">
        <f>IF('6-MédS1'!O13="","",'6-MédS1'!O13)</f>
        <v>#DIV/0!</v>
      </c>
    </row>
    <row r="196" spans="1:18" ht="15">
      <c r="A196">
        <v>7</v>
      </c>
      <c r="B196" t="s">
        <v>112</v>
      </c>
      <c r="C196" t="str">
        <f>IF('7-MédS2'!A13="","",'7-MédS2'!A13)</f>
        <v>Retraite de base 2</v>
      </c>
      <c r="D196">
        <f>IF('7-MédS2'!B13="","",'7-MédS2'!B13)</f>
        <v>5243</v>
      </c>
      <c r="E196">
        <f>IF('7-MédS2'!C13="","",'7-MédS2'!C13)</f>
        <v>1.8700000000000001E-2</v>
      </c>
      <c r="F196">
        <f>IF('7-MédS2'!D13="","",'7-MédS2'!D13)</f>
        <v>98</v>
      </c>
      <c r="G196" t="str">
        <f>IF('7-MédS2'!E13="","",'7-MédS2'!E13)</f>
        <v/>
      </c>
      <c r="H196" t="str">
        <f>IF('7-MédS2'!F13="","",'7-MédS2'!F13)</f>
        <v/>
      </c>
      <c r="I196">
        <f>IF('7-MédS2'!G13="","",'7-MédS2'!G13)</f>
        <v>98</v>
      </c>
      <c r="J196">
        <v>7</v>
      </c>
      <c r="K196" t="str">
        <f>IF('7-MédS2'!I13="","",'7-MédS2'!I13)</f>
        <v>Retraite de base 2</v>
      </c>
      <c r="L196">
        <f>IF('7-MédS2'!J13="","",'7-MédS2'!J13)</f>
        <v>5243</v>
      </c>
      <c r="M196">
        <f>IF('7-MédS2'!K13="","",'7-MédS2'!K13)</f>
        <v>1.8700000000000001E-2</v>
      </c>
      <c r="N196">
        <f>IF('7-MédS2'!L13="","",'7-MédS2'!L13)</f>
        <v>98</v>
      </c>
      <c r="O196" t="str">
        <f>IF('7-MédS2'!M13="","",'7-MédS2'!M13)</f>
        <v/>
      </c>
      <c r="P196" t="str">
        <f>IF('7-MédS2'!N13="","",'7-MédS2'!N13)</f>
        <v/>
      </c>
      <c r="Q196">
        <f>IF('7-MédS2'!O13="","",'7-MédS2'!O13)</f>
        <v>98</v>
      </c>
    </row>
    <row r="197" spans="1:18" ht="15">
      <c r="A197">
        <v>8</v>
      </c>
      <c r="B197" t="s">
        <v>113</v>
      </c>
      <c r="C197" t="str">
        <f>IF('8-PAM'!A13="","",'8-PAM'!A13)</f>
        <v>Retraite de base 2</v>
      </c>
      <c r="D197">
        <f>IF('8-PAM'!B13="","",'8-PAM'!B13)</f>
        <v>5243</v>
      </c>
      <c r="E197">
        <f>IF('8-PAM'!C13="","",'8-PAM'!C13)</f>
        <v>1.8700000000000001E-2</v>
      </c>
      <c r="F197">
        <f>IF('8-PAM'!D13="","",'8-PAM'!D13)</f>
        <v>98</v>
      </c>
      <c r="G197" t="str">
        <f>IF('8-PAM'!E13="","",'8-PAM'!E13)</f>
        <v/>
      </c>
      <c r="H197" t="str">
        <f>IF('8-PAM'!F13="","",'8-PAM'!F13)</f>
        <v/>
      </c>
      <c r="I197">
        <f>IF('8-PAM'!G13="","",'8-PAM'!G13)</f>
        <v>98</v>
      </c>
      <c r="J197">
        <v>8</v>
      </c>
      <c r="K197" t="str">
        <f>IF('8-PAM'!I13="","",'8-PAM'!I13)</f>
        <v>Retraite de base 2</v>
      </c>
      <c r="L197">
        <f>IF('8-PAM'!J13="","",'8-PAM'!J13)</f>
        <v>5243</v>
      </c>
      <c r="M197">
        <f>IF('8-PAM'!K13="","",'8-PAM'!K13)</f>
        <v>1.8700000000000001E-2</v>
      </c>
      <c r="N197">
        <f>IF('8-PAM'!L13="","",'8-PAM'!L13)</f>
        <v>98</v>
      </c>
      <c r="O197" t="str">
        <f>IF('8-PAM'!M13="","",'8-PAM'!M13)</f>
        <v/>
      </c>
      <c r="P197" t="str">
        <f>IF('8-PAM'!N13="","",'8-PAM'!N13)</f>
        <v/>
      </c>
      <c r="Q197">
        <f>IF('8-PAM'!O13="","",'8-PAM'!O13)</f>
        <v>98</v>
      </c>
    </row>
    <row r="198" spans="1:18" ht="15">
      <c r="A198">
        <v>9</v>
      </c>
      <c r="B198" t="s">
        <v>114</v>
      </c>
      <c r="C198" t="str">
        <f>IF('9-CIPAV'!A13="","",'9-CIPAV'!A13)</f>
        <v>Retraite complément. Tr 2</v>
      </c>
      <c r="D198">
        <f>IF('9-CIPAV'!B13="","",'9-CIPAV'!B13)</f>
        <v>0</v>
      </c>
      <c r="E198">
        <f>IF('9-CIPAV'!C13="","",'9-CIPAV'!C13)</f>
        <v>0.22</v>
      </c>
      <c r="F198">
        <f>IF('9-CIPAV'!D13="","",'9-CIPAV'!D13)</f>
        <v>0</v>
      </c>
      <c r="G198" t="str">
        <f>IF('9-CIPAV'!E13="","",'9-CIPAV'!E13)</f>
        <v/>
      </c>
      <c r="H198" t="str">
        <f>IF('9-CIPAV'!F13="","",'9-CIPAV'!F13)</f>
        <v/>
      </c>
      <c r="I198">
        <f>IF('9-CIPAV'!G13="","",'9-CIPAV'!G13)</f>
        <v>0</v>
      </c>
      <c r="J198">
        <v>9</v>
      </c>
      <c r="K198" t="str">
        <f>IF('9-CIPAV'!I13="","",'9-CIPAV'!I13)</f>
        <v>Retraite complément. Tr 2</v>
      </c>
      <c r="L198">
        <f>IF('9-CIPAV'!J13="","",'9-CIPAV'!J13)</f>
        <v>0</v>
      </c>
      <c r="M198">
        <f>IF('9-CIPAV'!K13="","",'9-CIPAV'!K13)</f>
        <v>0.22</v>
      </c>
      <c r="N198">
        <f>IF('9-CIPAV'!L13="","",'9-CIPAV'!L13)</f>
        <v>0</v>
      </c>
      <c r="O198" t="str">
        <f>IF('9-CIPAV'!M13="","",'9-CIPAV'!M13)</f>
        <v/>
      </c>
      <c r="P198" t="str">
        <f>IF('9-CIPAV'!N13="","",'9-CIPAV'!N13)</f>
        <v/>
      </c>
      <c r="Q198">
        <f>IF('9-CIPAV'!O13="","",'9-CIPAV'!O13)</f>
        <v>0</v>
      </c>
    </row>
    <row r="199" spans="1:18" ht="15">
      <c r="A199">
        <v>10</v>
      </c>
      <c r="B199" t="s">
        <v>115</v>
      </c>
      <c r="C199" t="str">
        <f>IF('10-BNC-SSI'!A13="","",'10-BNC-SSI'!A13)</f>
        <v>CSG-CRDS</v>
      </c>
      <c r="D199">
        <f>IF('10-BNC-SSI'!B13="","",'10-BNC-SSI'!B13)</f>
        <v>0</v>
      </c>
      <c r="E199">
        <f>IF('10-BNC-SSI'!C13="","",'10-BNC-SSI'!C13)</f>
        <v>9.7000000000000003E-2</v>
      </c>
      <c r="F199">
        <f>IF('10-BNC-SSI'!D13="","",'10-BNC-SSI'!D13)</f>
        <v>0</v>
      </c>
      <c r="G199" t="str">
        <f>IF('10-BNC-SSI'!E13="","",'10-BNC-SSI'!E13)</f>
        <v/>
      </c>
      <c r="H199" t="str">
        <f>IF('10-BNC-SSI'!F13="","",'10-BNC-SSI'!F13)</f>
        <v/>
      </c>
      <c r="I199">
        <f>IF('10-BNC-SSI'!G13="","",'10-BNC-SSI'!G13)</f>
        <v>0</v>
      </c>
      <c r="J199">
        <v>10</v>
      </c>
      <c r="K199" t="str">
        <f>IF('10-BNC-SSI'!I13="","",'10-BNC-SSI'!I13)</f>
        <v>CSG-CRDS</v>
      </c>
      <c r="L199">
        <f>IF('10-BNC-SSI'!J13="","",'10-BNC-SSI'!J13)</f>
        <v>0</v>
      </c>
      <c r="M199">
        <f>IF('10-BNC-SSI'!K13="","",'10-BNC-SSI'!K13)</f>
        <v>9.7000000000000003E-2</v>
      </c>
      <c r="N199">
        <f>IF('10-BNC-SSI'!L13="","",'10-BNC-SSI'!L13)</f>
        <v>0</v>
      </c>
      <c r="O199" t="str">
        <f>IF('10-BNC-SSI'!M13="","",'10-BNC-SSI'!M13)</f>
        <v/>
      </c>
      <c r="P199" t="str">
        <f>IF('10-BNC-SSI'!N13="","",'10-BNC-SSI'!N13)</f>
        <v/>
      </c>
      <c r="Q199">
        <f>IF('10-BNC-SSI'!O13="","",'10-BNC-SSI'!O13)</f>
        <v>0</v>
      </c>
    </row>
    <row r="200" spans="1:18" ht="15">
      <c r="A200">
        <v>11</v>
      </c>
      <c r="B200" t="s">
        <v>116</v>
      </c>
      <c r="C200" t="str">
        <f>IF('11-SF'!A13="","",'11-SF'!A13)</f>
        <v>Retraite de base 2</v>
      </c>
      <c r="D200">
        <f>IF('11-SF'!B13="","",'11-SF'!B13)</f>
        <v>5243</v>
      </c>
      <c r="E200">
        <f>IF('11-SF'!C13="","",'11-SF'!C13)</f>
        <v>1.8700000000000001E-2</v>
      </c>
      <c r="F200">
        <f>IF('11-SF'!D13="","",'11-SF'!D13)</f>
        <v>98</v>
      </c>
      <c r="G200" t="str">
        <f>IF('11-SF'!E13="","",'11-SF'!E13)</f>
        <v/>
      </c>
      <c r="H200" t="str">
        <f>IF('11-SF'!F13="","",'11-SF'!F13)</f>
        <v/>
      </c>
      <c r="I200">
        <f>IF('11-SF'!G13="","",'11-SF'!G13)</f>
        <v>98</v>
      </c>
      <c r="J200">
        <v>11</v>
      </c>
      <c r="K200" t="str">
        <f>IF('11-SF'!I13="","",'11-SF'!I13)</f>
        <v>Retraite de base 2</v>
      </c>
      <c r="L200">
        <f>IF('11-SF'!J13="","",'11-SF'!J13)</f>
        <v>5243</v>
      </c>
      <c r="M200">
        <f>IF('11-SF'!K13="","",'11-SF'!K13)</f>
        <v>1.8700000000000001E-2</v>
      </c>
      <c r="N200">
        <f>IF('11-SF'!L13="","",'11-SF'!L13)</f>
        <v>98</v>
      </c>
      <c r="O200" t="str">
        <f>IF('11-SF'!M13="","",'11-SF'!M13)</f>
        <v/>
      </c>
      <c r="P200" t="str">
        <f>IF('11-SF'!N13="","",'11-SF'!N13)</f>
        <v/>
      </c>
      <c r="Q200">
        <f>IF('11-SF'!O13="","",'11-SF'!O13)</f>
        <v>98</v>
      </c>
    </row>
    <row r="201" spans="1:18" ht="15">
      <c r="A201">
        <v>12</v>
      </c>
      <c r="B201" t="s">
        <v>117</v>
      </c>
      <c r="C201" t="str">
        <f>IF('12-VETO'!A13="","",'12-VETO'!A13)</f>
        <v>Invalidité-décès</v>
      </c>
      <c r="D201" t="str">
        <f>IF('12-VETO'!B13="","",'12-VETO'!B13)</f>
        <v>Minimum</v>
      </c>
      <c r="E201" t="str">
        <f>IF('12-VETO'!C13="","",'12-VETO'!C13)</f>
        <v/>
      </c>
      <c r="F201">
        <f>IF('12-VETO'!D13="","",'12-VETO'!D13)</f>
        <v>390</v>
      </c>
      <c r="G201" t="str">
        <f>IF('12-VETO'!E13="","",'12-VETO'!E13)</f>
        <v/>
      </c>
      <c r="H201" t="str">
        <f>IF('12-VETO'!F13="","",'12-VETO'!F13)</f>
        <v/>
      </c>
      <c r="I201">
        <f>IF('12-VETO'!G13="","",'12-VETO'!G13)</f>
        <v>390</v>
      </c>
      <c r="J201">
        <v>12</v>
      </c>
      <c r="K201" t="str">
        <f>IF('12-VETO'!I13="","",'12-VETO'!I13)</f>
        <v>Invalidité-décès</v>
      </c>
      <c r="L201" t="str">
        <f>IF('12-VETO'!J13="","",'12-VETO'!J13)</f>
        <v>Minimum</v>
      </c>
      <c r="M201" t="str">
        <f>IF('12-VETO'!K13="","",'12-VETO'!K13)</f>
        <v/>
      </c>
      <c r="N201">
        <f>IF('12-VETO'!L13="","",'12-VETO'!L13)</f>
        <v>390</v>
      </c>
      <c r="O201" t="str">
        <f>IF('12-VETO'!M13="","",'12-VETO'!M13)</f>
        <v/>
      </c>
      <c r="P201" t="str">
        <f>IF('12-VETO'!N13="","",'12-VETO'!N13)</f>
        <v/>
      </c>
      <c r="Q201">
        <f>IF('12-VETO'!O13="","",'12-VETO'!O13)</f>
        <v>390</v>
      </c>
    </row>
    <row r="202" spans="1:18" ht="15">
      <c r="A202">
        <v>13</v>
      </c>
      <c r="B202" t="s">
        <v>168</v>
      </c>
      <c r="C202" t="str">
        <f>""</f>
        <v/>
      </c>
      <c r="D202" t="str">
        <f>""</f>
        <v/>
      </c>
      <c r="E202" t="str">
        <f>""</f>
        <v/>
      </c>
      <c r="F202" t="str">
        <f>""</f>
        <v/>
      </c>
      <c r="G202" t="str">
        <f>""</f>
        <v/>
      </c>
      <c r="H202" t="str">
        <f>""</f>
        <v/>
      </c>
      <c r="I202" t="str">
        <f>""</f>
        <v/>
      </c>
      <c r="J202">
        <v>13</v>
      </c>
      <c r="K202" t="str">
        <f>""</f>
        <v/>
      </c>
      <c r="L202" t="str">
        <f>""</f>
        <v/>
      </c>
      <c r="M202" t="str">
        <f>""</f>
        <v/>
      </c>
      <c r="N202" t="str">
        <f>""</f>
        <v/>
      </c>
      <c r="O202" t="str">
        <f>""</f>
        <v/>
      </c>
      <c r="P202" t="str">
        <f>""</f>
        <v/>
      </c>
      <c r="Q202" t="str">
        <f>""</f>
        <v/>
      </c>
    </row>
    <row r="203" spans="1:18" ht="15">
      <c r="A203">
        <v>14</v>
      </c>
      <c r="B203" t="s">
        <v>169</v>
      </c>
      <c r="C203" t="str">
        <f>IF('14-Avocats'!A13="","",'14-Avocats'!A13)</f>
        <v xml:space="preserve">Retraite complément. </v>
      </c>
      <c r="D203" t="str">
        <f>IF('14-Avocats'!B13="","",'14-Avocats'!B13)</f>
        <v>Classe 0</v>
      </c>
      <c r="E203" t="str">
        <f>IF('14-Avocats'!C13="","",'14-Avocats'!C13)</f>
        <v/>
      </c>
      <c r="F203" t="e">
        <f>IF('14-Avocats'!D13="","",'14-Avocats'!D13)</f>
        <v>#N/A</v>
      </c>
      <c r="G203" t="str">
        <f>IF('14-Avocats'!E13="","",'14-Avocats'!E13)</f>
        <v/>
      </c>
      <c r="H203" t="str">
        <f>IF('14-Avocats'!F13="","",'14-Avocats'!F13)</f>
        <v/>
      </c>
      <c r="I203" t="e">
        <f>IF('14-Avocats'!G13="","",'14-Avocats'!G13)</f>
        <v>#N/A</v>
      </c>
      <c r="J203">
        <v>14</v>
      </c>
      <c r="K203" t="str">
        <f>IF('14-Avocats'!I13="","",'14-Avocats'!I13)</f>
        <v xml:space="preserve">Retraite complément. </v>
      </c>
      <c r="L203" t="str">
        <f>IF('14-Avocats'!J13="","",'14-Avocats'!J13)</f>
        <v>Classe 0</v>
      </c>
      <c r="M203" t="str">
        <f>IF('14-Avocats'!K13="","",'14-Avocats'!K13)</f>
        <v/>
      </c>
      <c r="N203" t="e">
        <f>IF('14-Avocats'!L13="","",'14-Avocats'!L13)</f>
        <v>#N/A</v>
      </c>
      <c r="O203" t="str">
        <f>IF('14-Avocats'!M13="","",'14-Avocats'!M13)</f>
        <v/>
      </c>
      <c r="P203" t="str">
        <f>IF('14-Avocats'!N13="","",'14-Avocats'!N13)</f>
        <v/>
      </c>
      <c r="Q203" t="e">
        <f>IF('14-Avocats'!O13="","",'14-Avocats'!O13)</f>
        <v>#N/A</v>
      </c>
    </row>
    <row r="204" spans="1:18" ht="15">
      <c r="A204">
        <v>15</v>
      </c>
      <c r="B204" t="s">
        <v>203</v>
      </c>
      <c r="C204" t="str">
        <f>IF('15-PODO'!A13="","",'15-PODO'!A13)</f>
        <v>Retraite complément. forfaitaire</v>
      </c>
      <c r="D204" t="str">
        <f>IF('15-PODO'!B13="","",'15-PODO'!B13)</f>
        <v/>
      </c>
      <c r="E204" t="str">
        <f>IF('15-PODO'!C13="","",'15-PODO'!C13)</f>
        <v/>
      </c>
      <c r="F204">
        <f>IF('15-PODO'!D13="","",'15-PODO'!D13)</f>
        <v>1944</v>
      </c>
      <c r="G204" t="str">
        <f>IF('15-PODO'!E13="","",'15-PODO'!E13)</f>
        <v/>
      </c>
      <c r="H204" t="str">
        <f>IF('15-PODO'!F13="","",'15-PODO'!F13)</f>
        <v/>
      </c>
      <c r="I204">
        <f>IF('15-PODO'!G13="","",'15-PODO'!G13)</f>
        <v>1944</v>
      </c>
      <c r="J204">
        <v>15</v>
      </c>
      <c r="K204" t="str">
        <f>IF('15-PODO'!I13="","",'15-PODO'!I13)</f>
        <v>Retraite complément. forfaitaire</v>
      </c>
      <c r="L204" t="str">
        <f>IF('15-PODO'!J13="","",'15-PODO'!J13)</f>
        <v/>
      </c>
      <c r="M204" t="str">
        <f>IF('15-PODO'!K13="","",'15-PODO'!K13)</f>
        <v/>
      </c>
      <c r="N204">
        <f>IF('15-PODO'!L13="","",'15-PODO'!L13)</f>
        <v>1944</v>
      </c>
      <c r="O204" t="str">
        <f>IF('15-PODO'!M13="","",'15-PODO'!M13)</f>
        <v/>
      </c>
      <c r="P204" t="str">
        <f>IF('15-PODO'!N13="","",'15-PODO'!N13)</f>
        <v/>
      </c>
      <c r="Q204">
        <f>IF('15-PODO'!O13="","",'15-PODO'!O13)</f>
        <v>1944</v>
      </c>
    </row>
    <row r="205" spans="1:18">
      <c r="B205" s="18" t="str">
        <f>B189</f>
        <v>LIGNE 10 : A13</v>
      </c>
      <c r="C205" s="18" t="e">
        <f>VLOOKUP($A$45,$A$190:$I$204,3,FALSE)</f>
        <v>#N/A</v>
      </c>
      <c r="D205" s="64" t="e">
        <f>VLOOKUP($A$27,$A$190:$I$204,4,FALSE)</f>
        <v>#N/A</v>
      </c>
      <c r="E205" s="46" t="e">
        <f>VLOOKUP($A$27,$A$190:$I$204,5,FALSE)</f>
        <v>#N/A</v>
      </c>
      <c r="F205" s="65" t="e">
        <f>VLOOKUP($A$27,$A$190:$I$204,6,FALSE)</f>
        <v>#N/A</v>
      </c>
      <c r="G205" s="46" t="e">
        <f>VLOOKUP($A$27,$A$190:$I$204,7,FALSE)</f>
        <v>#N/A</v>
      </c>
      <c r="H205" s="65" t="e">
        <f>VLOOKUP($A$27,$A$190:$I$204,8,FALSE)</f>
        <v>#N/A</v>
      </c>
      <c r="I205" s="65" t="e">
        <f>VLOOKUP($A$27,$A$190:$I$204,9,FALSE)</f>
        <v>#N/A</v>
      </c>
      <c r="J205" s="66" t="e">
        <f>IF(LEFT(C205,5)="TOTAL",1,0)</f>
        <v>#N/A</v>
      </c>
      <c r="K205" s="18" t="e">
        <f>VLOOKUP($A$27,$J$190:$Q$204,2,FALSE)</f>
        <v>#N/A</v>
      </c>
      <c r="L205" s="18" t="e">
        <f>VLOOKUP($A$27,$J$190:$Q$204,3,FALSE)</f>
        <v>#N/A</v>
      </c>
      <c r="M205" s="18" t="e">
        <f>VLOOKUP($A$27,$J$190:$Q$204,4,FALSE)</f>
        <v>#N/A</v>
      </c>
      <c r="N205" s="18" t="e">
        <f>VLOOKUP($A$27,$J$190:$Q$204,5,FALSE)</f>
        <v>#N/A</v>
      </c>
      <c r="O205" s="18" t="e">
        <f>VLOOKUP($A$27,$J$190:$Q$204,6,FALSE)</f>
        <v>#N/A</v>
      </c>
      <c r="P205" s="18" t="e">
        <f>VLOOKUP($A$27,$J$190:$Q$204,7,FALSE)</f>
        <v>#N/A</v>
      </c>
      <c r="Q205" s="18" t="e">
        <f>VLOOKUP($A$27,$J$190:$Q$204,8,FALSE)</f>
        <v>#N/A</v>
      </c>
      <c r="R205" s="66" t="e">
        <f>IF(LEFT(K205,5)="TOTAL",1,0)</f>
        <v>#N/A</v>
      </c>
    </row>
    <row r="207" spans="1:18">
      <c r="A207">
        <f>CAS</f>
        <v>0</v>
      </c>
      <c r="B207" t="s">
        <v>145</v>
      </c>
      <c r="D207" s="8" t="s">
        <v>19</v>
      </c>
      <c r="E207" s="8" t="s">
        <v>60</v>
      </c>
      <c r="F207" s="8" t="s">
        <v>61</v>
      </c>
      <c r="G207" s="8" t="s">
        <v>66</v>
      </c>
      <c r="H207" s="8" t="s">
        <v>64</v>
      </c>
      <c r="I207" s="8" t="s">
        <v>65</v>
      </c>
    </row>
    <row r="208" spans="1:18" ht="15">
      <c r="A208">
        <v>1</v>
      </c>
      <c r="B208" t="s">
        <v>106</v>
      </c>
      <c r="C208" t="str">
        <f>IF('1-ARTISAN'!A14="","",'1-ARTISAN'!A14)</f>
        <v>CSG-CRDS</v>
      </c>
      <c r="D208">
        <f>IF('1-ARTISAN'!B14="","",'1-ARTISAN'!B14)</f>
        <v>0</v>
      </c>
      <c r="E208">
        <f>IF('1-ARTISAN'!C14="","",'1-ARTISAN'!C14)</f>
        <v>9.7000000000000003E-2</v>
      </c>
      <c r="F208">
        <f>IF('1-ARTISAN'!D14="","",'1-ARTISAN'!D14)</f>
        <v>0</v>
      </c>
      <c r="G208" t="str">
        <f>IF('1-ARTISAN'!E14="","",'1-ARTISAN'!E14)</f>
        <v/>
      </c>
      <c r="H208" t="str">
        <f>IF('1-ARTISAN'!F14="","",'1-ARTISAN'!F14)</f>
        <v/>
      </c>
      <c r="I208">
        <f>IF('1-ARTISAN'!G14="","",'1-ARTISAN'!G14)</f>
        <v>0</v>
      </c>
      <c r="J208">
        <v>1</v>
      </c>
      <c r="K208" t="str">
        <f>IF('1-ARTISAN'!I14="","",'1-ARTISAN'!I14)</f>
        <v>CSG-CRDS</v>
      </c>
      <c r="L208">
        <f>IF('1-ARTISAN'!J14="","",'1-ARTISAN'!J14)</f>
        <v>0</v>
      </c>
      <c r="M208">
        <f>IF('1-ARTISAN'!K14="","",'1-ARTISAN'!K14)</f>
        <v>9.7000000000000003E-2</v>
      </c>
      <c r="N208">
        <f>IF('1-ARTISAN'!L14="","",'1-ARTISAN'!L14)</f>
        <v>0</v>
      </c>
      <c r="O208" t="str">
        <f>IF('1-ARTISAN'!M14="","",'1-ARTISAN'!M14)</f>
        <v/>
      </c>
      <c r="P208" t="str">
        <f>IF('1-ARTISAN'!N14="","",'1-ARTISAN'!N14)</f>
        <v/>
      </c>
      <c r="Q208">
        <f>IF('1-ARTISAN'!O14="","",'1-ARTISAN'!O14)</f>
        <v>0</v>
      </c>
    </row>
    <row r="209" spans="1:18" ht="15">
      <c r="A209">
        <v>2</v>
      </c>
      <c r="B209" t="s">
        <v>107</v>
      </c>
      <c r="C209" s="67" t="str">
        <f>""</f>
        <v/>
      </c>
      <c r="D209" s="67" t="str">
        <f>""</f>
        <v/>
      </c>
      <c r="E209" s="67" t="str">
        <f>""</f>
        <v/>
      </c>
      <c r="F209" s="67" t="str">
        <f>""</f>
        <v/>
      </c>
      <c r="G209" s="67" t="str">
        <f>""</f>
        <v/>
      </c>
      <c r="H209" s="67" t="str">
        <f>""</f>
        <v/>
      </c>
      <c r="I209" s="67" t="str">
        <f>""</f>
        <v/>
      </c>
      <c r="J209" s="67">
        <v>2</v>
      </c>
      <c r="K209" s="67" t="str">
        <f>""</f>
        <v/>
      </c>
      <c r="L209" s="67" t="str">
        <f>""</f>
        <v/>
      </c>
      <c r="M209" s="67" t="str">
        <f>""</f>
        <v/>
      </c>
      <c r="N209" s="67" t="str">
        <f>""</f>
        <v/>
      </c>
      <c r="O209" s="67" t="str">
        <f>""</f>
        <v/>
      </c>
      <c r="P209" s="67" t="str">
        <f>""</f>
        <v/>
      </c>
      <c r="Q209" s="67" t="str">
        <f>""</f>
        <v/>
      </c>
    </row>
    <row r="210" spans="1:18" ht="15">
      <c r="A210">
        <v>3</v>
      </c>
      <c r="B210" t="s">
        <v>108</v>
      </c>
      <c r="C210" t="str">
        <f>IF('3-Chir_dent'!A14="","",'3-Chir_dent'!A14)</f>
        <v>Retraite complément. forfaitaire</v>
      </c>
      <c r="D210" t="str">
        <f>IF('3-Chir_dent'!B14="","",'3-Chir_dent'!B14)</f>
        <v/>
      </c>
      <c r="E210" t="str">
        <f>IF('3-Chir_dent'!C14="","",'3-Chir_dent'!C14)</f>
        <v/>
      </c>
      <c r="F210">
        <f>IF('3-Chir_dent'!D14="","",'3-Chir_dent'!D14)</f>
        <v>3108</v>
      </c>
      <c r="G210" t="str">
        <f>IF('3-Chir_dent'!E14="","",'3-Chir_dent'!E14)</f>
        <v/>
      </c>
      <c r="H210" t="str">
        <f>IF('3-Chir_dent'!F14="","",'3-Chir_dent'!F14)</f>
        <v/>
      </c>
      <c r="I210">
        <f>IF('3-Chir_dent'!G14="","",'3-Chir_dent'!G14)</f>
        <v>3108</v>
      </c>
      <c r="J210">
        <v>3</v>
      </c>
      <c r="K210" t="str">
        <f>IF('3-Chir_dent'!I14="","",'3-Chir_dent'!I14)</f>
        <v>Retraite complément. forfaitaire</v>
      </c>
      <c r="L210" t="str">
        <f>IF('3-Chir_dent'!J14="","",'3-Chir_dent'!J14)</f>
        <v/>
      </c>
      <c r="M210" t="str">
        <f>IF('3-Chir_dent'!K14="","",'3-Chir_dent'!K14)</f>
        <v/>
      </c>
      <c r="N210">
        <f>IF('3-Chir_dent'!L14="","",'3-Chir_dent'!L14)</f>
        <v>3108</v>
      </c>
      <c r="O210" t="str">
        <f>IF('3-Chir_dent'!M14="","",'3-Chir_dent'!M14)</f>
        <v/>
      </c>
      <c r="P210" t="str">
        <f>IF('3-Chir_dent'!N14="","",'3-Chir_dent'!N14)</f>
        <v/>
      </c>
      <c r="Q210">
        <f>IF('3-Chir_dent'!O14="","",'3-Chir_dent'!O14)</f>
        <v>3108</v>
      </c>
    </row>
    <row r="211" spans="1:18" ht="15">
      <c r="A211">
        <v>4</v>
      </c>
      <c r="B211" t="s">
        <v>109</v>
      </c>
      <c r="C211" t="str">
        <f>IF('4-COMMERCANT'!A14="","",'4-COMMERCANT'!A14)</f>
        <v>CSG-CRDS</v>
      </c>
      <c r="D211">
        <f>IF('4-COMMERCANT'!B14="","",'4-COMMERCANT'!B14)</f>
        <v>0</v>
      </c>
      <c r="E211">
        <f>IF('4-COMMERCANT'!C14="","",'4-COMMERCANT'!C14)</f>
        <v>9.7000000000000003E-2</v>
      </c>
      <c r="F211">
        <f>IF('4-COMMERCANT'!D14="","",'4-COMMERCANT'!D14)</f>
        <v>0</v>
      </c>
      <c r="G211" t="str">
        <f>IF('4-COMMERCANT'!E14="","",'4-COMMERCANT'!E14)</f>
        <v/>
      </c>
      <c r="H211" t="str">
        <f>IF('4-COMMERCANT'!F14="","",'4-COMMERCANT'!F14)</f>
        <v/>
      </c>
      <c r="I211">
        <f>IF('4-COMMERCANT'!G14="","",'4-COMMERCANT'!G14)</f>
        <v>0</v>
      </c>
      <c r="J211">
        <v>4</v>
      </c>
      <c r="K211" t="str">
        <f>IF('4-COMMERCANT'!I14="","",'4-COMMERCANT'!I14)</f>
        <v>CSG-CRDS</v>
      </c>
      <c r="L211">
        <f>IF('4-COMMERCANT'!J14="","",'4-COMMERCANT'!J14)</f>
        <v>0</v>
      </c>
      <c r="M211">
        <f>IF('4-COMMERCANT'!K14="","",'4-COMMERCANT'!K14)</f>
        <v>9.7000000000000003E-2</v>
      </c>
      <c r="N211">
        <f>IF('4-COMMERCANT'!L14="","",'4-COMMERCANT'!L14)</f>
        <v>0</v>
      </c>
      <c r="O211" t="str">
        <f>IF('4-COMMERCANT'!M14="","",'4-COMMERCANT'!M14)</f>
        <v/>
      </c>
      <c r="P211" t="str">
        <f>IF('4-COMMERCANT'!N14="","",'4-COMMERCANT'!N14)</f>
        <v/>
      </c>
      <c r="Q211">
        <f>IF('4-COMMERCANT'!O14="","",'4-COMMERCANT'!O14)</f>
        <v>0</v>
      </c>
    </row>
    <row r="212" spans="1:18" ht="15">
      <c r="A212">
        <v>5</v>
      </c>
      <c r="B212" t="s">
        <v>110</v>
      </c>
      <c r="C212" t="str">
        <f>IF('5-EC_CAC'!A14="","",'5-EC_CAC'!A14)</f>
        <v>TOTAL CAVEC</v>
      </c>
      <c r="D212" t="str">
        <f>IF('5-EC_CAC'!B14="","",'5-EC_CAC'!B14)</f>
        <v/>
      </c>
      <c r="E212" t="str">
        <f>IF('5-EC_CAC'!C14="","",'5-EC_CAC'!C14)</f>
        <v/>
      </c>
      <c r="F212" t="str">
        <f>IF('5-EC_CAC'!D14="","",'5-EC_CAC'!D14)</f>
        <v/>
      </c>
      <c r="G212" t="str">
        <f>IF('5-EC_CAC'!E14="","",'5-EC_CAC'!E14)</f>
        <v/>
      </c>
      <c r="H212" t="str">
        <f>IF('5-EC_CAC'!F14="","",'5-EC_CAC'!F14)</f>
        <v/>
      </c>
      <c r="I212">
        <f>IF('5-EC_CAC'!G14="","",'5-EC_CAC'!G14)</f>
        <v>1577</v>
      </c>
      <c r="J212">
        <v>5</v>
      </c>
      <c r="K212" t="str">
        <f>IF('5-EC_CAC'!I14="","",'5-EC_CAC'!I14)</f>
        <v>TOTAL CAVEC</v>
      </c>
      <c r="L212" t="str">
        <f>IF('5-EC_CAC'!J14="","",'5-EC_CAC'!J14)</f>
        <v/>
      </c>
      <c r="M212" t="str">
        <f>IF('5-EC_CAC'!K14="","",'5-EC_CAC'!K14)</f>
        <v/>
      </c>
      <c r="N212" t="str">
        <f>IF('5-EC_CAC'!L14="","",'5-EC_CAC'!L14)</f>
        <v/>
      </c>
      <c r="O212" t="str">
        <f>IF('5-EC_CAC'!M14="","",'5-EC_CAC'!M14)</f>
        <v/>
      </c>
      <c r="P212" t="str">
        <f>IF('5-EC_CAC'!N14="","",'5-EC_CAC'!N14)</f>
        <v/>
      </c>
      <c r="Q212">
        <f>IF('5-EC_CAC'!O14="","",'5-EC_CAC'!O14)</f>
        <v>1577</v>
      </c>
    </row>
    <row r="213" spans="1:18" ht="15">
      <c r="A213">
        <v>6</v>
      </c>
      <c r="B213" t="s">
        <v>111</v>
      </c>
      <c r="C213" t="str">
        <f>IF('6-MédS1'!A14="","",'6-MédS1'!A14)</f>
        <v>Retraite complémentaire</v>
      </c>
      <c r="D213">
        <f>IF('6-MédS1'!B14="","",'6-MédS1'!B14)</f>
        <v>0</v>
      </c>
      <c r="E213">
        <f>IF('6-MédS1'!C14="","",'6-MédS1'!C14)</f>
        <v>0.10199999999999999</v>
      </c>
      <c r="F213">
        <f>IF('6-MédS1'!D14="","",'6-MédS1'!D14)</f>
        <v>0</v>
      </c>
      <c r="G213" t="str">
        <f>IF('6-MédS1'!E14="","",'6-MédS1'!E14)</f>
        <v/>
      </c>
      <c r="H213" t="str">
        <f>IF('6-MédS1'!F14="","",'6-MédS1'!F14)</f>
        <v/>
      </c>
      <c r="I213">
        <f>IF('6-MédS1'!G14="","",'6-MédS1'!G14)</f>
        <v>0</v>
      </c>
      <c r="J213">
        <v>6</v>
      </c>
      <c r="K213" t="str">
        <f>IF('6-MédS1'!I14="","",'6-MédS1'!I14)</f>
        <v>Retraite complémentaire</v>
      </c>
      <c r="L213">
        <f>IF('6-MédS1'!J14="","",'6-MédS1'!J14)</f>
        <v>0</v>
      </c>
      <c r="M213">
        <f>IF('6-MédS1'!K14="","",'6-MédS1'!K14)</f>
        <v>0.10199999999999999</v>
      </c>
      <c r="N213">
        <f>IF('6-MédS1'!L14="","",'6-MédS1'!L14)</f>
        <v>0</v>
      </c>
      <c r="O213" t="str">
        <f>IF('6-MédS1'!M14="","",'6-MédS1'!M14)</f>
        <v/>
      </c>
      <c r="P213" t="str">
        <f>IF('6-MédS1'!N14="","",'6-MédS1'!N14)</f>
        <v/>
      </c>
      <c r="Q213">
        <f>IF('6-MédS1'!O14="","",'6-MédS1'!O14)</f>
        <v>0</v>
      </c>
    </row>
    <row r="214" spans="1:18" ht="15">
      <c r="A214">
        <v>7</v>
      </c>
      <c r="B214" t="s">
        <v>112</v>
      </c>
      <c r="C214" t="str">
        <f>IF('7-MédS2'!A14="","",'7-MédS2'!A14)</f>
        <v>Retraite complémentaire</v>
      </c>
      <c r="D214">
        <f>IF('7-MédS2'!B14="","",'7-MédS2'!B14)</f>
        <v>0</v>
      </c>
      <c r="E214">
        <f>IF('7-MédS2'!C14="","",'7-MédS2'!C14)</f>
        <v>0.10199999999999999</v>
      </c>
      <c r="F214">
        <f>IF('7-MédS2'!D14="","",'7-MédS2'!D14)</f>
        <v>0</v>
      </c>
      <c r="G214" t="str">
        <f>IF('7-MédS2'!E14="","",'7-MédS2'!E14)</f>
        <v/>
      </c>
      <c r="H214" t="str">
        <f>IF('7-MédS2'!F14="","",'7-MédS2'!F14)</f>
        <v/>
      </c>
      <c r="I214">
        <f>IF('7-MédS2'!G14="","",'7-MédS2'!G14)</f>
        <v>0</v>
      </c>
      <c r="J214">
        <v>7</v>
      </c>
      <c r="K214" t="str">
        <f>IF('7-MédS2'!I14="","",'7-MédS2'!I14)</f>
        <v>Retraite complémentaire</v>
      </c>
      <c r="L214">
        <f>IF('7-MédS2'!J14="","",'7-MédS2'!J14)</f>
        <v>0</v>
      </c>
      <c r="M214">
        <f>IF('7-MédS2'!K14="","",'7-MédS2'!K14)</f>
        <v>0.10199999999999999</v>
      </c>
      <c r="N214">
        <f>IF('7-MédS2'!L14="","",'7-MédS2'!L14)</f>
        <v>0</v>
      </c>
      <c r="O214" t="str">
        <f>IF('7-MédS2'!M14="","",'7-MédS2'!M14)</f>
        <v/>
      </c>
      <c r="P214" t="str">
        <f>IF('7-MédS2'!N14="","",'7-MédS2'!N14)</f>
        <v/>
      </c>
      <c r="Q214">
        <f>IF('7-MédS2'!O14="","",'7-MédS2'!O14)</f>
        <v>0</v>
      </c>
    </row>
    <row r="215" spans="1:18" ht="15">
      <c r="A215">
        <v>8</v>
      </c>
      <c r="B215" t="s">
        <v>113</v>
      </c>
      <c r="C215" t="str">
        <f>IF('8-PAM'!A14="","",'8-PAM'!A14)</f>
        <v>Retraite complément. forfaitaire</v>
      </c>
      <c r="D215" t="str">
        <f>IF('8-PAM'!B14="","",'8-PAM'!B14)</f>
        <v/>
      </c>
      <c r="E215" t="str">
        <f>IF('8-PAM'!C14="","",'8-PAM'!C14)</f>
        <v/>
      </c>
      <c r="F215">
        <f>IF('8-PAM'!D14="","",'8-PAM'!D14)</f>
        <v>1944</v>
      </c>
      <c r="G215" t="str">
        <f>IF('8-PAM'!E14="","",'8-PAM'!E14)</f>
        <v/>
      </c>
      <c r="H215" t="str">
        <f>IF('8-PAM'!F14="","",'8-PAM'!F14)</f>
        <v/>
      </c>
      <c r="I215">
        <f>IF('8-PAM'!G14="","",'8-PAM'!G14)</f>
        <v>1944</v>
      </c>
      <c r="J215">
        <v>8</v>
      </c>
      <c r="K215" t="str">
        <f>IF('8-PAM'!I14="","",'8-PAM'!I14)</f>
        <v>Retraite complément. forfaitaire</v>
      </c>
      <c r="L215" t="str">
        <f>IF('8-PAM'!J14="","",'8-PAM'!J14)</f>
        <v/>
      </c>
      <c r="M215" t="str">
        <f>IF('8-PAM'!K14="","",'8-PAM'!K14)</f>
        <v/>
      </c>
      <c r="N215">
        <f>IF('8-PAM'!L14="","",'8-PAM'!L14)</f>
        <v>1944</v>
      </c>
      <c r="O215" t="str">
        <f>IF('8-PAM'!M14="","",'8-PAM'!M14)</f>
        <v/>
      </c>
      <c r="P215" t="str">
        <f>IF('8-PAM'!N14="","",'8-PAM'!N14)</f>
        <v/>
      </c>
      <c r="Q215">
        <f>IF('8-PAM'!O14="","",'8-PAM'!O14)</f>
        <v>1944</v>
      </c>
    </row>
    <row r="216" spans="1:18" ht="15">
      <c r="A216">
        <v>9</v>
      </c>
      <c r="B216" t="s">
        <v>114</v>
      </c>
      <c r="C216" t="str">
        <f>IF('9-CIPAV'!A14="","",'9-CIPAV'!A14)</f>
        <v>Invalidité-décès</v>
      </c>
      <c r="D216">
        <f>IF('9-CIPAV'!B14="","",'9-CIPAV'!B14)</f>
        <v>17156</v>
      </c>
      <c r="E216">
        <f>IF('9-CIPAV'!C14="","",'9-CIPAV'!C14)</f>
        <v>5.0000000000000001E-3</v>
      </c>
      <c r="F216">
        <f>IF('9-CIPAV'!D14="","",'9-CIPAV'!D14)</f>
        <v>86</v>
      </c>
      <c r="G216" t="str">
        <f>IF('9-CIPAV'!E14="","",'9-CIPAV'!E14)</f>
        <v/>
      </c>
      <c r="H216" t="str">
        <f>IF('9-CIPAV'!F14="","",'9-CIPAV'!F14)</f>
        <v/>
      </c>
      <c r="I216">
        <f>IF('9-CIPAV'!G14="","",'9-CIPAV'!G14)</f>
        <v>86</v>
      </c>
      <c r="J216">
        <v>9</v>
      </c>
      <c r="K216" t="str">
        <f>IF('9-CIPAV'!I14="","",'9-CIPAV'!I14)</f>
        <v>Invalidité-décès</v>
      </c>
      <c r="L216">
        <f>IF('9-CIPAV'!J14="","",'9-CIPAV'!J14)</f>
        <v>17156</v>
      </c>
      <c r="M216">
        <f>IF('9-CIPAV'!K14="","",'9-CIPAV'!K14)</f>
        <v>5.0000000000000001E-3</v>
      </c>
      <c r="N216">
        <f>IF('9-CIPAV'!L14="","",'9-CIPAV'!L14)</f>
        <v>86</v>
      </c>
      <c r="O216" t="str">
        <f>IF('9-CIPAV'!M14="","",'9-CIPAV'!M14)</f>
        <v/>
      </c>
      <c r="P216" t="str">
        <f>IF('9-CIPAV'!N14="","",'9-CIPAV'!N14)</f>
        <v/>
      </c>
      <c r="Q216">
        <f>IF('9-CIPAV'!O14="","",'9-CIPAV'!O14)</f>
        <v>86</v>
      </c>
    </row>
    <row r="217" spans="1:18" ht="15">
      <c r="A217">
        <v>10</v>
      </c>
      <c r="B217" t="s">
        <v>115</v>
      </c>
      <c r="C217" t="str">
        <f>IF('10-BNC-SSI'!A14="","",'10-BNC-SSI'!A14)</f>
        <v>TOTAL URSSAF</v>
      </c>
      <c r="D217" t="str">
        <f>IF('10-BNC-SSI'!B14="","",'10-BNC-SSI'!B14)</f>
        <v/>
      </c>
      <c r="E217" t="str">
        <f>IF('10-BNC-SSI'!C14="","",'10-BNC-SSI'!C14)</f>
        <v/>
      </c>
      <c r="F217" t="str">
        <f>IF('10-BNC-SSI'!D14="","",'10-BNC-SSI'!D14)</f>
        <v/>
      </c>
      <c r="G217" t="str">
        <f>IF('10-BNC-SSI'!E14="","",'10-BNC-SSI'!E14)</f>
        <v/>
      </c>
      <c r="H217" t="str">
        <f>IF('10-BNC-SSI'!F14="","",'10-BNC-SSI'!F14)</f>
        <v/>
      </c>
      <c r="I217">
        <f>IF('10-BNC-SSI'!G14="","",'10-BNC-SSI'!G14)</f>
        <v>1140</v>
      </c>
      <c r="J217">
        <v>10</v>
      </c>
      <c r="K217" t="str">
        <f>IF('10-BNC-SSI'!I14="","",'10-BNC-SSI'!I14)</f>
        <v>TOTAL URSSAF</v>
      </c>
      <c r="L217" t="str">
        <f>IF('10-BNC-SSI'!J14="","",'10-BNC-SSI'!J14)</f>
        <v/>
      </c>
      <c r="M217" t="str">
        <f>IF('10-BNC-SSI'!K14="","",'10-BNC-SSI'!K14)</f>
        <v/>
      </c>
      <c r="N217" t="str">
        <f>IF('10-BNC-SSI'!L14="","",'10-BNC-SSI'!L14)</f>
        <v/>
      </c>
      <c r="O217" t="str">
        <f>IF('10-BNC-SSI'!M14="","",'10-BNC-SSI'!M14)</f>
        <v/>
      </c>
      <c r="P217" t="str">
        <f>IF('10-BNC-SSI'!N14="","",'10-BNC-SSI'!N14)</f>
        <v/>
      </c>
      <c r="Q217">
        <f>IF('10-BNC-SSI'!O14="","",'10-BNC-SSI'!O14)</f>
        <v>1140</v>
      </c>
    </row>
    <row r="218" spans="1:18" ht="15">
      <c r="A218">
        <v>11</v>
      </c>
      <c r="B218" t="s">
        <v>116</v>
      </c>
      <c r="C218" t="str">
        <f>IF('11-SF'!A14="","",'11-SF'!A14)</f>
        <v>Retraite complément. forfaitaire</v>
      </c>
      <c r="D218" t="str">
        <f>IF('11-SF'!B14="","",'11-SF'!B14)</f>
        <v/>
      </c>
      <c r="E218" t="str">
        <f>IF('11-SF'!C14="","",'11-SF'!C14)</f>
        <v/>
      </c>
      <c r="F218">
        <f>IF('11-SF'!D14="","",'11-SF'!D14)</f>
        <v>3108</v>
      </c>
      <c r="G218" t="str">
        <f>IF('11-SF'!E14="","",'11-SF'!E14)</f>
        <v/>
      </c>
      <c r="H218" t="str">
        <f>IF('11-SF'!F14="","",'11-SF'!F14)</f>
        <v/>
      </c>
      <c r="I218">
        <f>IF('11-SF'!G14="","",'11-SF'!G14)</f>
        <v>3108</v>
      </c>
      <c r="J218">
        <v>11</v>
      </c>
      <c r="K218" t="str">
        <f>IF('11-SF'!I14="","",'11-SF'!I14)</f>
        <v>Retraite complément. forfaitaire</v>
      </c>
      <c r="L218" t="str">
        <f>IF('11-SF'!J14="","",'11-SF'!J14)</f>
        <v/>
      </c>
      <c r="M218" t="str">
        <f>IF('11-SF'!K14="","",'11-SF'!K14)</f>
        <v/>
      </c>
      <c r="N218">
        <f>IF('11-SF'!L14="","",'11-SF'!L14)</f>
        <v>3108</v>
      </c>
      <c r="O218" t="str">
        <f>IF('11-SF'!M14="","",'11-SF'!M14)</f>
        <v/>
      </c>
      <c r="P218" t="str">
        <f>IF('11-SF'!N14="","",'11-SF'!N14)</f>
        <v/>
      </c>
      <c r="Q218">
        <f>IF('11-SF'!O14="","",'11-SF'!O14)</f>
        <v>3108</v>
      </c>
    </row>
    <row r="219" spans="1:18" ht="15">
      <c r="A219">
        <v>12</v>
      </c>
      <c r="B219" t="s">
        <v>117</v>
      </c>
      <c r="C219" t="str">
        <f>IF('12-VETO'!A14="","",'12-VETO'!A14)</f>
        <v>TOTAL CARPV</v>
      </c>
      <c r="D219" t="str">
        <f>IF('12-VETO'!B14="","",'12-VETO'!B14)</f>
        <v/>
      </c>
      <c r="E219" t="str">
        <f>IF('12-VETO'!C14="","",'12-VETO'!C14)</f>
        <v/>
      </c>
      <c r="F219" t="str">
        <f>IF('12-VETO'!D14="","",'12-VETO'!D14)</f>
        <v/>
      </c>
      <c r="G219" t="str">
        <f>IF('12-VETO'!E14="","",'12-VETO'!E14)</f>
        <v/>
      </c>
      <c r="H219" t="str">
        <f>IF('12-VETO'!F14="","",'12-VETO'!F14)</f>
        <v/>
      </c>
      <c r="I219">
        <f>IF('12-VETO'!G14="","",'12-VETO'!G14)</f>
        <v>2060</v>
      </c>
      <c r="J219">
        <v>12</v>
      </c>
      <c r="K219" t="str">
        <f>IF('12-VETO'!I14="","",'12-VETO'!I14)</f>
        <v>TOTAL CARPV</v>
      </c>
      <c r="L219" t="str">
        <f>IF('12-VETO'!J14="","",'12-VETO'!J14)</f>
        <v/>
      </c>
      <c r="M219" t="str">
        <f>IF('12-VETO'!K14="","",'12-VETO'!K14)</f>
        <v/>
      </c>
      <c r="N219" t="str">
        <f>IF('12-VETO'!L14="","",'12-VETO'!L14)</f>
        <v/>
      </c>
      <c r="O219" t="str">
        <f>IF('12-VETO'!M14="","",'12-VETO'!M14)</f>
        <v/>
      </c>
      <c r="P219" t="str">
        <f>IF('12-VETO'!N14="","",'12-VETO'!N14)</f>
        <v/>
      </c>
      <c r="Q219">
        <f>IF('12-VETO'!O14="","",'12-VETO'!O14)</f>
        <v>2060</v>
      </c>
    </row>
    <row r="220" spans="1:18" ht="15">
      <c r="A220">
        <v>13</v>
      </c>
      <c r="B220" t="s">
        <v>168</v>
      </c>
      <c r="C220" t="str">
        <f>""</f>
        <v/>
      </c>
      <c r="D220" t="str">
        <f>""</f>
        <v/>
      </c>
      <c r="E220" t="str">
        <f>""</f>
        <v/>
      </c>
      <c r="F220" t="str">
        <f>""</f>
        <v/>
      </c>
      <c r="G220" t="str">
        <f>""</f>
        <v/>
      </c>
      <c r="H220" t="str">
        <f>""</f>
        <v/>
      </c>
      <c r="I220" t="str">
        <f>""</f>
        <v/>
      </c>
      <c r="J220">
        <v>13</v>
      </c>
      <c r="K220" t="str">
        <f>""</f>
        <v/>
      </c>
      <c r="L220" t="str">
        <f>""</f>
        <v/>
      </c>
      <c r="M220" t="str">
        <f>""</f>
        <v/>
      </c>
      <c r="N220" t="str">
        <f>""</f>
        <v/>
      </c>
      <c r="O220" t="str">
        <f>""</f>
        <v/>
      </c>
      <c r="P220" t="str">
        <f>""</f>
        <v/>
      </c>
      <c r="Q220" t="str">
        <f>""</f>
        <v/>
      </c>
    </row>
    <row r="221" spans="1:18" ht="15">
      <c r="A221">
        <v>14</v>
      </c>
      <c r="B221" t="s">
        <v>169</v>
      </c>
      <c r="C221" t="str">
        <f>IF('14-Avocats'!A14="","",'14-Avocats'!A14)</f>
        <v>TOTAL VIEILLESSE</v>
      </c>
      <c r="D221" t="str">
        <f>IF('14-Avocats'!B14="","",'14-Avocats'!B14)</f>
        <v/>
      </c>
      <c r="E221" t="str">
        <f>IF('14-Avocats'!C14="","",'14-Avocats'!C14)</f>
        <v/>
      </c>
      <c r="F221" t="str">
        <f>IF('14-Avocats'!D14="","",'14-Avocats'!D14)</f>
        <v/>
      </c>
      <c r="G221" t="str">
        <f>IF('14-Avocats'!E14="","",'14-Avocats'!E14)</f>
        <v/>
      </c>
      <c r="H221" t="str">
        <f>IF('14-Avocats'!F14="","",'14-Avocats'!F14)</f>
        <v/>
      </c>
      <c r="I221" t="e">
        <f>IF('14-Avocats'!G14="","",'14-Avocats'!G14)</f>
        <v>#N/A</v>
      </c>
      <c r="J221">
        <v>14</v>
      </c>
      <c r="K221" t="str">
        <f>IF('14-Avocats'!I14="","",'14-Avocats'!I14)</f>
        <v>TOTAL VIEILLESSE</v>
      </c>
      <c r="L221" t="str">
        <f>IF('14-Avocats'!J14="","",'14-Avocats'!J14)</f>
        <v/>
      </c>
      <c r="M221" t="str">
        <f>IF('14-Avocats'!K14="","",'14-Avocats'!K14)</f>
        <v/>
      </c>
      <c r="N221" t="str">
        <f>IF('14-Avocats'!L14="","",'14-Avocats'!L14)</f>
        <v/>
      </c>
      <c r="O221" t="str">
        <f>IF('14-Avocats'!M14="","",'14-Avocats'!M14)</f>
        <v/>
      </c>
      <c r="P221" t="str">
        <f>IF('14-Avocats'!N14="","",'14-Avocats'!N14)</f>
        <v/>
      </c>
      <c r="Q221" t="e">
        <f>IF('14-Avocats'!O14="","",'14-Avocats'!O14)</f>
        <v>#N/A</v>
      </c>
    </row>
    <row r="222" spans="1:18" ht="15">
      <c r="A222">
        <v>15</v>
      </c>
      <c r="B222" t="s">
        <v>203</v>
      </c>
      <c r="C222" t="str">
        <f>IF('15-PODO'!A14="","",'15-PODO'!A14)</f>
        <v>Retraite complément. proportionnelle</v>
      </c>
      <c r="D222">
        <f>IF('15-PODO'!B14="","",'15-PODO'!B14)</f>
        <v>0</v>
      </c>
      <c r="E222">
        <f>IF('15-PODO'!C14="","",'15-PODO'!C14)</f>
        <v>0.03</v>
      </c>
      <c r="F222">
        <f>IF('15-PODO'!D14="","",'15-PODO'!D14)</f>
        <v>0</v>
      </c>
      <c r="G222" t="str">
        <f>IF('15-PODO'!E14="","",'15-PODO'!E14)</f>
        <v/>
      </c>
      <c r="H222" t="str">
        <f>IF('15-PODO'!F14="","",'15-PODO'!F14)</f>
        <v/>
      </c>
      <c r="I222">
        <f>IF('15-PODO'!G14="","",'15-PODO'!G14)</f>
        <v>0</v>
      </c>
      <c r="J222">
        <v>15</v>
      </c>
      <c r="K222" t="str">
        <f>IF('15-PODO'!I14="","",'15-PODO'!I14)</f>
        <v>Retraite complément. proportionnelle</v>
      </c>
      <c r="L222">
        <f>IF('15-PODO'!J14="","",'15-PODO'!J14)</f>
        <v>0</v>
      </c>
      <c r="M222">
        <f>IF('15-PODO'!K14="","",'15-PODO'!K14)</f>
        <v>0.03</v>
      </c>
      <c r="N222">
        <f>IF('15-PODO'!L14="","",'15-PODO'!L14)</f>
        <v>0</v>
      </c>
      <c r="O222" t="str">
        <f>IF('15-PODO'!M14="","",'15-PODO'!M14)</f>
        <v/>
      </c>
      <c r="P222" t="str">
        <f>IF('15-PODO'!N14="","",'15-PODO'!N14)</f>
        <v/>
      </c>
      <c r="Q222">
        <f>IF('15-PODO'!O14="","",'15-PODO'!O14)</f>
        <v>0</v>
      </c>
    </row>
    <row r="223" spans="1:18">
      <c r="B223" s="18" t="str">
        <f>B207</f>
        <v>LIGNE 11 : A14</v>
      </c>
      <c r="C223" s="18" t="e">
        <f>VLOOKUP($A$45,$A$208:$I$222,3,FALSE)</f>
        <v>#N/A</v>
      </c>
      <c r="D223" s="64" t="e">
        <f>VLOOKUP($A$27,$A$208:$I$222,4,FALSE)</f>
        <v>#N/A</v>
      </c>
      <c r="E223" s="46" t="e">
        <f>VLOOKUP($A$27,$A$208:$I$222,5,FALSE)</f>
        <v>#N/A</v>
      </c>
      <c r="F223" s="65" t="e">
        <f>VLOOKUP($A$27,$A$208:$I$222,6,FALSE)</f>
        <v>#N/A</v>
      </c>
      <c r="G223" s="46" t="e">
        <f>VLOOKUP($A$27,$A$208:$I$222,7,FALSE)</f>
        <v>#N/A</v>
      </c>
      <c r="H223" s="65" t="e">
        <f>VLOOKUP($A$27,$A$208:$I$222,8,FALSE)</f>
        <v>#N/A</v>
      </c>
      <c r="I223" s="65" t="e">
        <f>VLOOKUP($A$27,$A$208:$I$222,9,FALSE)</f>
        <v>#N/A</v>
      </c>
      <c r="J223" s="66" t="e">
        <f>IF(LEFT(C223,5)="TOTAL",1,0)</f>
        <v>#N/A</v>
      </c>
      <c r="K223" s="18" t="e">
        <f>VLOOKUP($A$27,$J$208:$Q$222,2,FALSE)</f>
        <v>#N/A</v>
      </c>
      <c r="L223" s="18" t="e">
        <f>VLOOKUP($A$27,$J$208:$Q$222,3,FALSE)</f>
        <v>#N/A</v>
      </c>
      <c r="M223" s="18" t="e">
        <f>VLOOKUP($A$27,$J$208:$Q$222,4,FALSE)</f>
        <v>#N/A</v>
      </c>
      <c r="N223" s="18" t="e">
        <f>VLOOKUP($A$27,$J$208:$Q$222,5,FALSE)</f>
        <v>#N/A</v>
      </c>
      <c r="O223" s="18" t="e">
        <f>VLOOKUP($A$27,$J$208:$Q$222,6,FALSE)</f>
        <v>#N/A</v>
      </c>
      <c r="P223" s="18" t="e">
        <f>VLOOKUP($A$27,$J$208:$Q$222,7,FALSE)</f>
        <v>#N/A</v>
      </c>
      <c r="Q223" s="18" t="e">
        <f>VLOOKUP($A$27,$J$208:$Q$222,8,FALSE)</f>
        <v>#N/A</v>
      </c>
      <c r="R223" s="66" t="e">
        <f>IF(LEFT(K223,5)="TOTAL",1,0)</f>
        <v>#N/A</v>
      </c>
    </row>
    <row r="225" spans="1:17">
      <c r="A225">
        <f>CAS</f>
        <v>0</v>
      </c>
      <c r="B225" t="s">
        <v>146</v>
      </c>
      <c r="D225" s="8" t="s">
        <v>19</v>
      </c>
      <c r="E225" s="8" t="s">
        <v>60</v>
      </c>
      <c r="F225" s="8" t="s">
        <v>61</v>
      </c>
      <c r="G225" s="8" t="s">
        <v>66</v>
      </c>
      <c r="H225" s="8" t="s">
        <v>64</v>
      </c>
      <c r="I225" s="8" t="s">
        <v>65</v>
      </c>
    </row>
    <row r="226" spans="1:17" ht="15">
      <c r="A226">
        <v>1</v>
      </c>
      <c r="B226" t="s">
        <v>106</v>
      </c>
      <c r="C226" t="str">
        <f>IF('1-ARTISAN'!A15="","",'1-ARTISAN'!A15)</f>
        <v>TOTAL URSSAF</v>
      </c>
      <c r="D226" t="str">
        <f>IF('1-ARTISAN'!B15="","",'1-ARTISAN'!B15)</f>
        <v/>
      </c>
      <c r="E226" t="str">
        <f>IF('1-ARTISAN'!C15="","",'1-ARTISAN'!C15)</f>
        <v/>
      </c>
      <c r="F226" t="str">
        <f>IF('1-ARTISAN'!D15="","",'1-ARTISAN'!D15)</f>
        <v/>
      </c>
      <c r="G226" t="str">
        <f>IF('1-ARTISAN'!E15="","",'1-ARTISAN'!E15)</f>
        <v/>
      </c>
      <c r="H226" t="str">
        <f>IF('1-ARTISAN'!F15="","",'1-ARTISAN'!F15)</f>
        <v/>
      </c>
      <c r="I226">
        <f>IF('1-ARTISAN'!G15="","",'1-ARTISAN'!G15)</f>
        <v>1158</v>
      </c>
      <c r="J226">
        <v>1</v>
      </c>
      <c r="K226" t="str">
        <f>IF('1-ARTISAN'!I15="","",'1-ARTISAN'!I15)</f>
        <v>TOTAL URSSAF</v>
      </c>
      <c r="L226" t="str">
        <f>IF('1-ARTISAN'!J15="","",'1-ARTISAN'!J15)</f>
        <v/>
      </c>
      <c r="M226" t="str">
        <f>IF('1-ARTISAN'!K15="","",'1-ARTISAN'!K15)</f>
        <v/>
      </c>
      <c r="N226" t="str">
        <f>IF('1-ARTISAN'!L15="","",'1-ARTISAN'!L15)</f>
        <v/>
      </c>
      <c r="O226" t="str">
        <f>IF('1-ARTISAN'!M15="","",'1-ARTISAN'!M15)</f>
        <v/>
      </c>
      <c r="P226" t="str">
        <f>IF('1-ARTISAN'!N15="","",'1-ARTISAN'!N15)</f>
        <v/>
      </c>
      <c r="Q226">
        <f>IF('1-ARTISAN'!O15="","",'1-ARTISAN'!O15)</f>
        <v>1158</v>
      </c>
    </row>
    <row r="227" spans="1:17" ht="15">
      <c r="A227">
        <v>2</v>
      </c>
      <c r="B227" t="s">
        <v>107</v>
      </c>
      <c r="C227" s="67" t="str">
        <f>""</f>
        <v/>
      </c>
      <c r="D227" s="67" t="str">
        <f>""</f>
        <v/>
      </c>
      <c r="E227" s="67" t="str">
        <f>""</f>
        <v/>
      </c>
      <c r="F227" s="67" t="str">
        <f>""</f>
        <v/>
      </c>
      <c r="G227" s="67" t="str">
        <f>""</f>
        <v/>
      </c>
      <c r="H227" s="67" t="str">
        <f>""</f>
        <v/>
      </c>
      <c r="I227" s="67" t="str">
        <f>""</f>
        <v/>
      </c>
      <c r="J227">
        <v>2</v>
      </c>
      <c r="K227" t="str">
        <f>""</f>
        <v/>
      </c>
      <c r="L227" t="str">
        <f>""</f>
        <v/>
      </c>
      <c r="M227" t="str">
        <f>""</f>
        <v/>
      </c>
      <c r="N227" t="str">
        <f>""</f>
        <v/>
      </c>
      <c r="O227" t="str">
        <f>""</f>
        <v/>
      </c>
      <c r="P227" t="str">
        <f>""</f>
        <v/>
      </c>
      <c r="Q227" t="str">
        <f>""</f>
        <v/>
      </c>
    </row>
    <row r="228" spans="1:17" ht="15">
      <c r="A228">
        <v>3</v>
      </c>
      <c r="B228" t="s">
        <v>108</v>
      </c>
      <c r="C228" t="str">
        <f>IF('3-Chir_dent'!A15="","",'3-Chir_dent'!A15)</f>
        <v>Retraite complément. proportionnelle</v>
      </c>
      <c r="D228">
        <f>IF('3-Chir_dent'!B15="","",'3-Chir_dent'!B15)</f>
        <v>0</v>
      </c>
      <c r="E228">
        <f>IF('3-Chir_dent'!C15="","",'3-Chir_dent'!C15)</f>
        <v>0.108</v>
      </c>
      <c r="F228">
        <f>IF('3-Chir_dent'!D15="","",'3-Chir_dent'!D15)</f>
        <v>0</v>
      </c>
      <c r="G228" t="str">
        <f>IF('3-Chir_dent'!E15="","",'3-Chir_dent'!E15)</f>
        <v/>
      </c>
      <c r="H228" t="str">
        <f>IF('3-Chir_dent'!F15="","",'3-Chir_dent'!F15)</f>
        <v/>
      </c>
      <c r="I228">
        <f>IF('3-Chir_dent'!G15="","",'3-Chir_dent'!G15)</f>
        <v>0</v>
      </c>
      <c r="J228">
        <v>3</v>
      </c>
      <c r="K228" t="str">
        <f>IF('3-Chir_dent'!I15="","",'3-Chir_dent'!I15)</f>
        <v>Retraite complément. proportionnelle</v>
      </c>
      <c r="L228">
        <f>IF('3-Chir_dent'!J15="","",'3-Chir_dent'!J15)</f>
        <v>0</v>
      </c>
      <c r="M228">
        <f>IF('3-Chir_dent'!K15="","",'3-Chir_dent'!K15)</f>
        <v>0.108</v>
      </c>
      <c r="N228">
        <f>IF('3-Chir_dent'!L15="","",'3-Chir_dent'!L15)</f>
        <v>0</v>
      </c>
      <c r="O228" t="str">
        <f>IF('3-Chir_dent'!M15="","",'3-Chir_dent'!M15)</f>
        <v/>
      </c>
      <c r="P228" t="str">
        <f>IF('3-Chir_dent'!N15="","",'3-Chir_dent'!N15)</f>
        <v/>
      </c>
      <c r="Q228">
        <f>IF('3-Chir_dent'!O15="","",'3-Chir_dent'!O15)</f>
        <v>0</v>
      </c>
    </row>
    <row r="229" spans="1:17" ht="15">
      <c r="A229">
        <v>4</v>
      </c>
      <c r="B229" t="s">
        <v>109</v>
      </c>
      <c r="C229" t="str">
        <f>IF('4-COMMERCANT'!A15="","",'4-COMMERCANT'!A15)</f>
        <v>TOTAL URSSAF</v>
      </c>
      <c r="D229" t="str">
        <f>IF('4-COMMERCANT'!B15="","",'4-COMMERCANT'!B15)</f>
        <v/>
      </c>
      <c r="E229" t="str">
        <f>IF('4-COMMERCANT'!C15="","",'4-COMMERCANT'!C15)</f>
        <v/>
      </c>
      <c r="F229" t="str">
        <f>IF('4-COMMERCANT'!D15="","",'4-COMMERCANT'!D15)</f>
        <v/>
      </c>
      <c r="G229" t="str">
        <f>IF('4-COMMERCANT'!E15="","",'4-COMMERCANT'!E15)</f>
        <v/>
      </c>
      <c r="H229" t="str">
        <f>IF('4-COMMERCANT'!F15="","",'4-COMMERCANT'!F15)</f>
        <v/>
      </c>
      <c r="I229">
        <f>IF('4-COMMERCANT'!G15="","",'4-COMMERCANT'!G15)</f>
        <v>1140</v>
      </c>
      <c r="J229">
        <v>4</v>
      </c>
      <c r="K229" t="str">
        <f>IF('4-COMMERCANT'!I15="","",'4-COMMERCANT'!I15)</f>
        <v>TOTAL URSSAF</v>
      </c>
      <c r="L229" t="str">
        <f>IF('4-COMMERCANT'!J15="","",'4-COMMERCANT'!J15)</f>
        <v/>
      </c>
      <c r="M229" t="str">
        <f>IF('4-COMMERCANT'!K15="","",'4-COMMERCANT'!K15)</f>
        <v/>
      </c>
      <c r="N229" t="str">
        <f>IF('4-COMMERCANT'!L15="","",'4-COMMERCANT'!L15)</f>
        <v/>
      </c>
      <c r="O229" t="str">
        <f>IF('4-COMMERCANT'!M15="","",'4-COMMERCANT'!M15)</f>
        <v/>
      </c>
      <c r="P229" t="str">
        <f>IF('4-COMMERCANT'!N15="","",'4-COMMERCANT'!N15)</f>
        <v/>
      </c>
      <c r="Q229">
        <f>IF('4-COMMERCANT'!O15="","",'4-COMMERCANT'!O15)</f>
        <v>1140</v>
      </c>
    </row>
    <row r="230" spans="1:17" ht="15">
      <c r="A230">
        <v>5</v>
      </c>
      <c r="B230" t="s">
        <v>110</v>
      </c>
      <c r="C230" t="str">
        <f>IF('5-EC_CAC'!A15="","",'5-EC_CAC'!A15)</f>
        <v/>
      </c>
      <c r="D230" t="str">
        <f>IF('5-EC_CAC'!B15="","",'5-EC_CAC'!B15)</f>
        <v/>
      </c>
      <c r="E230" t="str">
        <f>IF('5-EC_CAC'!C15="","",'5-EC_CAC'!C15)</f>
        <v/>
      </c>
      <c r="F230" t="str">
        <f>IF('5-EC_CAC'!D15="","",'5-EC_CAC'!D15)</f>
        <v/>
      </c>
      <c r="G230" t="str">
        <f>IF('5-EC_CAC'!E15="","",'5-EC_CAC'!E15)</f>
        <v/>
      </c>
      <c r="H230" t="str">
        <f>IF('5-EC_CAC'!F15="","",'5-EC_CAC'!F15)</f>
        <v/>
      </c>
      <c r="I230" t="str">
        <f>IF('5-EC_CAC'!G15="","",'5-EC_CAC'!G15)</f>
        <v/>
      </c>
      <c r="J230">
        <v>5</v>
      </c>
      <c r="K230" t="str">
        <f>IF('5-EC_CAC'!I15="","",'5-EC_CAC'!I15)</f>
        <v/>
      </c>
      <c r="L230" t="str">
        <f>IF('5-EC_CAC'!J15="","",'5-EC_CAC'!J15)</f>
        <v/>
      </c>
      <c r="M230" t="str">
        <f>IF('5-EC_CAC'!K15="","",'5-EC_CAC'!K15)</f>
        <v/>
      </c>
      <c r="N230" t="str">
        <f>IF('5-EC_CAC'!L15="","",'5-EC_CAC'!L15)</f>
        <v/>
      </c>
      <c r="O230" t="str">
        <f>IF('5-EC_CAC'!M15="","",'5-EC_CAC'!M15)</f>
        <v/>
      </c>
      <c r="P230" t="str">
        <f>IF('5-EC_CAC'!N15="","",'5-EC_CAC'!N15)</f>
        <v/>
      </c>
      <c r="Q230" t="str">
        <f>IF('5-EC_CAC'!O15="","",'5-EC_CAC'!O15)</f>
        <v/>
      </c>
    </row>
    <row r="231" spans="1:17" ht="15">
      <c r="A231">
        <v>6</v>
      </c>
      <c r="B231" t="s">
        <v>111</v>
      </c>
      <c r="C231" t="str">
        <f>IF('6-MédS1'!A15="","",'6-MédS1'!A15)</f>
        <v>Invalidité-décès</v>
      </c>
      <c r="D231" t="str">
        <f>IF('6-MédS1'!B15="","",'6-MédS1'!B15)</f>
        <v/>
      </c>
      <c r="E231" t="str">
        <f>IF('6-MédS1'!C15="","",'6-MédS1'!C15)</f>
        <v/>
      </c>
      <c r="F231" t="str">
        <f>IF('6-MédS1'!D15="","",'6-MédS1'!D15)</f>
        <v/>
      </c>
      <c r="G231" t="str">
        <f>IF('6-MédS1'!E15="","",'6-MédS1'!E15)</f>
        <v/>
      </c>
      <c r="H231" t="str">
        <f>IF('6-MédS1'!F15="","",'6-MédS1'!F15)</f>
        <v/>
      </c>
      <c r="I231">
        <f>IF('6-MédS1'!G15="","",'6-MédS1'!G15)</f>
        <v>631</v>
      </c>
      <c r="J231">
        <v>6</v>
      </c>
      <c r="K231" t="str">
        <f>IF('6-MédS1'!I15="","",'6-MédS1'!I15)</f>
        <v>Invalidité-décès</v>
      </c>
      <c r="L231" t="str">
        <f>IF('6-MédS1'!J15="","",'6-MédS1'!J15)</f>
        <v/>
      </c>
      <c r="M231" t="str">
        <f>IF('6-MédS1'!K15="","",'6-MédS1'!K15)</f>
        <v/>
      </c>
      <c r="N231" t="str">
        <f>IF('6-MédS1'!L15="","",'6-MédS1'!L15)</f>
        <v/>
      </c>
      <c r="O231" t="str">
        <f>IF('6-MédS1'!M15="","",'6-MédS1'!M15)</f>
        <v/>
      </c>
      <c r="P231" t="str">
        <f>IF('6-MédS1'!N15="","",'6-MédS1'!N15)</f>
        <v/>
      </c>
      <c r="Q231">
        <f>IF('6-MédS1'!O15="","",'6-MédS1'!O15)</f>
        <v>631</v>
      </c>
    </row>
    <row r="232" spans="1:17" ht="15">
      <c r="A232">
        <v>7</v>
      </c>
      <c r="B232" t="s">
        <v>112</v>
      </c>
      <c r="C232" t="str">
        <f>IF('7-MédS2'!A15="","",'7-MédS2'!A15)</f>
        <v>Invalidité-décès</v>
      </c>
      <c r="D232" t="str">
        <f>IF('7-MédS2'!B15="","",'7-MédS2'!B15)</f>
        <v/>
      </c>
      <c r="E232" t="str">
        <f>IF('7-MédS2'!C15="","",'7-MédS2'!C15)</f>
        <v/>
      </c>
      <c r="F232">
        <f>IF('7-MédS2'!D15="","",'7-MédS2'!D15)</f>
        <v>631</v>
      </c>
      <c r="G232" t="str">
        <f>IF('7-MédS2'!E15="","",'7-MédS2'!E15)</f>
        <v/>
      </c>
      <c r="H232" t="str">
        <f>IF('7-MédS2'!F15="","",'7-MédS2'!F15)</f>
        <v/>
      </c>
      <c r="I232">
        <f>IF('7-MédS2'!G15="","",'7-MédS2'!G15)</f>
        <v>631</v>
      </c>
      <c r="J232">
        <v>7</v>
      </c>
      <c r="K232" t="str">
        <f>IF('7-MédS2'!I15="","",'7-MédS2'!I15)</f>
        <v>Invalidité-décès</v>
      </c>
      <c r="L232" t="str">
        <f>IF('7-MédS2'!J15="","",'7-MédS2'!J15)</f>
        <v/>
      </c>
      <c r="M232" t="str">
        <f>IF('7-MédS2'!K15="","",'7-MédS2'!K15)</f>
        <v/>
      </c>
      <c r="N232">
        <f>IF('7-MédS2'!L15="","",'7-MédS2'!L15)</f>
        <v>631</v>
      </c>
      <c r="O232" t="str">
        <f>IF('7-MédS2'!M15="","",'7-MédS2'!M15)</f>
        <v/>
      </c>
      <c r="P232" t="str">
        <f>IF('7-MédS2'!N15="","",'7-MédS2'!N15)</f>
        <v/>
      </c>
      <c r="Q232">
        <f>IF('7-MédS2'!O15="","",'7-MédS2'!O15)</f>
        <v>631</v>
      </c>
    </row>
    <row r="233" spans="1:17" ht="15">
      <c r="A233">
        <v>8</v>
      </c>
      <c r="B233" t="s">
        <v>113</v>
      </c>
      <c r="C233" t="str">
        <f>IF('8-PAM'!A15="","",'8-PAM'!A15)</f>
        <v>Retraite complément. proportionnelle</v>
      </c>
      <c r="D233">
        <f>IF('8-PAM'!B15="","",'8-PAM'!B15)</f>
        <v>0</v>
      </c>
      <c r="E233">
        <f>IF('8-PAM'!C15="","",'8-PAM'!C15)</f>
        <v>0.03</v>
      </c>
      <c r="F233">
        <f>IF('8-PAM'!D15="","",'8-PAM'!D15)</f>
        <v>0</v>
      </c>
      <c r="G233" t="str">
        <f>IF('8-PAM'!E15="","",'8-PAM'!E15)</f>
        <v/>
      </c>
      <c r="H233" t="str">
        <f>IF('8-PAM'!F15="","",'8-PAM'!F15)</f>
        <v/>
      </c>
      <c r="I233">
        <f>IF('8-PAM'!G15="","",'8-PAM'!G15)</f>
        <v>0</v>
      </c>
      <c r="J233">
        <v>8</v>
      </c>
      <c r="K233" t="str">
        <f>IF('8-PAM'!I15="","",'8-PAM'!I15)</f>
        <v>Retraite complément. proportionnelle</v>
      </c>
      <c r="L233">
        <f>IF('8-PAM'!J15="","",'8-PAM'!J15)</f>
        <v>0</v>
      </c>
      <c r="M233">
        <f>IF('8-PAM'!K15="","",'8-PAM'!K15)</f>
        <v>0.03</v>
      </c>
      <c r="N233">
        <f>IF('8-PAM'!L15="","",'8-PAM'!L15)</f>
        <v>0</v>
      </c>
      <c r="O233" t="str">
        <f>IF('8-PAM'!M15="","",'8-PAM'!M15)</f>
        <v/>
      </c>
      <c r="P233" t="str">
        <f>IF('8-PAM'!N15="","",'8-PAM'!N15)</f>
        <v/>
      </c>
      <c r="Q233">
        <f>IF('8-PAM'!O15="","",'8-PAM'!O15)</f>
        <v>0</v>
      </c>
    </row>
    <row r="234" spans="1:17" ht="15">
      <c r="A234">
        <v>9</v>
      </c>
      <c r="B234" t="s">
        <v>114</v>
      </c>
      <c r="C234" t="str">
        <f>IF('9-CIPAV'!A15="","",'9-CIPAV'!A15)</f>
        <v>TOTAL VIEILLESSE</v>
      </c>
      <c r="D234" t="str">
        <f>IF('9-CIPAV'!B15="","",'9-CIPAV'!B15)</f>
        <v/>
      </c>
      <c r="E234" t="str">
        <f>IF('9-CIPAV'!C15="","",'9-CIPAV'!C15)</f>
        <v/>
      </c>
      <c r="F234" t="str">
        <f>IF('9-CIPAV'!D15="","",'9-CIPAV'!D15)</f>
        <v/>
      </c>
      <c r="G234" t="str">
        <f>IF('9-CIPAV'!E15="","",'9-CIPAV'!E15)</f>
        <v/>
      </c>
      <c r="H234" t="str">
        <f>IF('9-CIPAV'!F15="","",'9-CIPAV'!F15)</f>
        <v/>
      </c>
      <c r="I234">
        <f>IF('9-CIPAV'!G15="","",'9-CIPAV'!G15)</f>
        <v>615</v>
      </c>
      <c r="J234">
        <v>9</v>
      </c>
      <c r="K234" t="str">
        <f>IF('9-CIPAV'!I15="","",'9-CIPAV'!I15)</f>
        <v>TOTAL VIEILLESSE</v>
      </c>
      <c r="L234" t="str">
        <f>IF('9-CIPAV'!J15="","",'9-CIPAV'!J15)</f>
        <v/>
      </c>
      <c r="M234" t="str">
        <f>IF('9-CIPAV'!K15="","",'9-CIPAV'!K15)</f>
        <v/>
      </c>
      <c r="N234" t="str">
        <f>IF('9-CIPAV'!L15="","",'9-CIPAV'!L15)</f>
        <v/>
      </c>
      <c r="O234" t="str">
        <f>IF('9-CIPAV'!M15="","",'9-CIPAV'!M15)</f>
        <v/>
      </c>
      <c r="P234" t="str">
        <f>IF('9-CIPAV'!N15="","",'9-CIPAV'!N15)</f>
        <v/>
      </c>
      <c r="Q234">
        <f>IF('9-CIPAV'!O15="","",'9-CIPAV'!O15)</f>
        <v>615</v>
      </c>
    </row>
    <row r="235" spans="1:17" ht="15">
      <c r="A235">
        <v>10</v>
      </c>
      <c r="B235" t="s">
        <v>115</v>
      </c>
      <c r="C235" t="str">
        <f>IF('10-BNC-SSI'!A15="","",'10-BNC-SSI'!A15)</f>
        <v/>
      </c>
      <c r="D235" t="str">
        <f>IF('10-BNC-SSI'!B15="","",'10-BNC-SSI'!B15)</f>
        <v/>
      </c>
      <c r="E235" t="str">
        <f>IF('10-BNC-SSI'!C15="","",'10-BNC-SSI'!C15)</f>
        <v/>
      </c>
      <c r="F235" t="str">
        <f>IF('10-BNC-SSI'!D15="","",'10-BNC-SSI'!D15)</f>
        <v/>
      </c>
      <c r="G235" t="str">
        <f>IF('10-BNC-SSI'!E15="","",'10-BNC-SSI'!E15)</f>
        <v/>
      </c>
      <c r="H235" t="str">
        <f>IF('10-BNC-SSI'!F15="","",'10-BNC-SSI'!F15)</f>
        <v/>
      </c>
      <c r="I235" t="str">
        <f>IF('10-BNC-SSI'!G15="","",'10-BNC-SSI'!G15)</f>
        <v/>
      </c>
      <c r="J235">
        <v>10</v>
      </c>
      <c r="K235" t="str">
        <f>IF('10-BNC-SSI'!I15="","",'10-BNC-SSI'!I15)</f>
        <v/>
      </c>
      <c r="L235" t="str">
        <f>IF('10-BNC-SSI'!J15="","",'10-BNC-SSI'!J15)</f>
        <v/>
      </c>
      <c r="M235" t="str">
        <f>IF('10-BNC-SSI'!K15="","",'10-BNC-SSI'!K15)</f>
        <v/>
      </c>
      <c r="N235" t="str">
        <f>IF('10-BNC-SSI'!L15="","",'10-BNC-SSI'!L15)</f>
        <v/>
      </c>
      <c r="O235" t="str">
        <f>IF('10-BNC-SSI'!M15="","",'10-BNC-SSI'!M15)</f>
        <v/>
      </c>
      <c r="P235" t="str">
        <f>IF('10-BNC-SSI'!N15="","",'10-BNC-SSI'!N15)</f>
        <v/>
      </c>
      <c r="Q235" t="str">
        <f>IF('10-BNC-SSI'!O15="","",'10-BNC-SSI'!O15)</f>
        <v/>
      </c>
    </row>
    <row r="236" spans="1:17" ht="15">
      <c r="A236">
        <v>11</v>
      </c>
      <c r="B236" t="s">
        <v>116</v>
      </c>
      <c r="C236" t="str">
        <f>IF('11-SF'!A15="","",'11-SF'!A15)</f>
        <v>Retraite complément. proportionnelle</v>
      </c>
      <c r="D236">
        <f>IF('11-SF'!B15="","",'11-SF'!B15)</f>
        <v>0</v>
      </c>
      <c r="E236">
        <f>IF('11-SF'!C15="","",'11-SF'!C15)</f>
        <v>0.108</v>
      </c>
      <c r="F236">
        <f>IF('11-SF'!D15="","",'11-SF'!D15)</f>
        <v>0</v>
      </c>
      <c r="G236" t="str">
        <f>IF('11-SF'!E15="","",'11-SF'!E15)</f>
        <v/>
      </c>
      <c r="H236" t="str">
        <f>IF('11-SF'!F15="","",'11-SF'!F15)</f>
        <v/>
      </c>
      <c r="I236">
        <f>IF('11-SF'!G15="","",'11-SF'!G15)</f>
        <v>0</v>
      </c>
      <c r="J236">
        <v>11</v>
      </c>
      <c r="K236" t="str">
        <f>IF('11-SF'!I15="","",'11-SF'!I15)</f>
        <v>Retraite complément. proportionnelle</v>
      </c>
      <c r="L236">
        <f>IF('11-SF'!J15="","",'11-SF'!J15)</f>
        <v>0</v>
      </c>
      <c r="M236">
        <f>IF('11-SF'!K15="","",'11-SF'!K15)</f>
        <v>0.108</v>
      </c>
      <c r="N236">
        <f>IF('11-SF'!L15="","",'11-SF'!L15)</f>
        <v>0</v>
      </c>
      <c r="O236" t="str">
        <f>IF('11-SF'!M15="","",'11-SF'!M15)</f>
        <v/>
      </c>
      <c r="P236" t="str">
        <f>IF('11-SF'!N15="","",'11-SF'!N15)</f>
        <v/>
      </c>
      <c r="Q236">
        <f>IF('11-SF'!O15="","",'11-SF'!O15)</f>
        <v>0</v>
      </c>
    </row>
    <row r="237" spans="1:17" ht="15">
      <c r="A237">
        <v>12</v>
      </c>
      <c r="B237" t="s">
        <v>117</v>
      </c>
      <c r="C237" t="str">
        <f>IF('12-VETO'!A15="","",'12-VETO'!A15)</f>
        <v/>
      </c>
      <c r="D237" t="str">
        <f>IF('12-VETO'!B15="","",'12-VETO'!B15)</f>
        <v/>
      </c>
      <c r="E237" t="str">
        <f>IF('12-VETO'!C15="","",'12-VETO'!C15)</f>
        <v/>
      </c>
      <c r="F237" t="str">
        <f>IF('12-VETO'!D15="","",'12-VETO'!D15)</f>
        <v/>
      </c>
      <c r="G237" t="str">
        <f>IF('12-VETO'!E15="","",'12-VETO'!E15)</f>
        <v/>
      </c>
      <c r="H237" t="str">
        <f>IF('12-VETO'!F15="","",'12-VETO'!F15)</f>
        <v/>
      </c>
      <c r="I237" t="str">
        <f>IF('12-VETO'!G15="","",'12-VETO'!G15)</f>
        <v/>
      </c>
      <c r="J237">
        <v>12</v>
      </c>
      <c r="K237" t="str">
        <f>IF('12-VETO'!I15="","",'12-VETO'!I15)</f>
        <v/>
      </c>
      <c r="L237" t="str">
        <f>IF('12-VETO'!J15="","",'12-VETO'!J15)</f>
        <v/>
      </c>
      <c r="M237" t="str">
        <f>IF('12-VETO'!K15="","",'12-VETO'!K15)</f>
        <v/>
      </c>
      <c r="N237" t="str">
        <f>IF('12-VETO'!L15="","",'12-VETO'!L15)</f>
        <v/>
      </c>
      <c r="O237" t="str">
        <f>IF('12-VETO'!M15="","",'12-VETO'!M15)</f>
        <v/>
      </c>
      <c r="P237" t="str">
        <f>IF('12-VETO'!N15="","",'12-VETO'!N15)</f>
        <v/>
      </c>
      <c r="Q237" t="str">
        <f>IF('12-VETO'!O15="","",'12-VETO'!O15)</f>
        <v/>
      </c>
    </row>
    <row r="238" spans="1:17" ht="15">
      <c r="A238">
        <v>13</v>
      </c>
      <c r="B238" t="s">
        <v>168</v>
      </c>
      <c r="C238" t="str">
        <f>""</f>
        <v/>
      </c>
      <c r="D238" t="str">
        <f>""</f>
        <v/>
      </c>
      <c r="E238" t="str">
        <f>""</f>
        <v/>
      </c>
      <c r="F238" t="str">
        <f>""</f>
        <v/>
      </c>
      <c r="G238" t="str">
        <f>""</f>
        <v/>
      </c>
      <c r="H238" t="str">
        <f>""</f>
        <v/>
      </c>
      <c r="I238" t="str">
        <f>""</f>
        <v/>
      </c>
      <c r="J238">
        <v>13</v>
      </c>
      <c r="K238" t="str">
        <f>""</f>
        <v/>
      </c>
      <c r="L238" t="str">
        <f>""</f>
        <v/>
      </c>
      <c r="M238" t="str">
        <f>""</f>
        <v/>
      </c>
      <c r="N238" t="str">
        <f>""</f>
        <v/>
      </c>
      <c r="O238" t="str">
        <f>""</f>
        <v/>
      </c>
      <c r="P238" t="str">
        <f>""</f>
        <v/>
      </c>
      <c r="Q238" t="str">
        <f>""</f>
        <v/>
      </c>
    </row>
    <row r="239" spans="1:17" ht="15">
      <c r="A239">
        <v>14</v>
      </c>
      <c r="B239" t="s">
        <v>169</v>
      </c>
      <c r="C239" t="str">
        <f>""</f>
        <v/>
      </c>
      <c r="D239" t="str">
        <f>""</f>
        <v/>
      </c>
      <c r="E239" t="str">
        <f>""</f>
        <v/>
      </c>
      <c r="F239" t="str">
        <f>""</f>
        <v/>
      </c>
      <c r="G239" t="str">
        <f>""</f>
        <v/>
      </c>
      <c r="H239" t="str">
        <f>""</f>
        <v/>
      </c>
      <c r="I239" t="str">
        <f>""</f>
        <v/>
      </c>
      <c r="J239">
        <v>14</v>
      </c>
      <c r="K239" t="str">
        <f>C239</f>
        <v/>
      </c>
      <c r="L239" t="str">
        <f t="shared" ref="L239:Q239" si="0">D239</f>
        <v/>
      </c>
      <c r="M239" t="str">
        <f t="shared" si="0"/>
        <v/>
      </c>
      <c r="N239" t="str">
        <f t="shared" si="0"/>
        <v/>
      </c>
      <c r="O239" t="str">
        <f t="shared" si="0"/>
        <v/>
      </c>
      <c r="P239" t="str">
        <f t="shared" si="0"/>
        <v/>
      </c>
      <c r="Q239" t="str">
        <f t="shared" si="0"/>
        <v/>
      </c>
    </row>
    <row r="240" spans="1:17" ht="15">
      <c r="A240">
        <v>15</v>
      </c>
      <c r="B240" t="s">
        <v>203</v>
      </c>
      <c r="C240" t="str">
        <f>IF('15-PODO'!A15="","",'15-PODO'!A15)</f>
        <v>Invalidité-décès</v>
      </c>
      <c r="D240" t="str">
        <f>IF('15-PODO'!B15="","",'15-PODO'!B15)</f>
        <v/>
      </c>
      <c r="E240" t="str">
        <f>IF('15-PODO'!C15="","",'15-PODO'!C15)</f>
        <v/>
      </c>
      <c r="F240">
        <f>IF('15-PODO'!D15="","",'15-PODO'!D15)</f>
        <v>862</v>
      </c>
      <c r="G240" t="str">
        <f>IF('15-PODO'!E15="","",'15-PODO'!E15)</f>
        <v/>
      </c>
      <c r="H240" t="str">
        <f>IF('15-PODO'!F15="","",'15-PODO'!F15)</f>
        <v/>
      </c>
      <c r="I240">
        <f>IF('15-PODO'!G15="","",'15-PODO'!G15)</f>
        <v>862</v>
      </c>
      <c r="J240">
        <v>15</v>
      </c>
      <c r="K240" t="str">
        <f>IF('15-PODO'!I15="","",'15-PODO'!I15)</f>
        <v>Invalidité-décès</v>
      </c>
      <c r="L240" t="str">
        <f>IF('15-PODO'!J15="","",'15-PODO'!J15)</f>
        <v/>
      </c>
      <c r="M240" t="str">
        <f>IF('15-PODO'!K15="","",'15-PODO'!K15)</f>
        <v/>
      </c>
      <c r="N240">
        <f>IF('15-PODO'!L15="","",'15-PODO'!L15)</f>
        <v>862</v>
      </c>
      <c r="O240" t="str">
        <f>IF('15-PODO'!M15="","",'15-PODO'!M15)</f>
        <v/>
      </c>
      <c r="P240" t="str">
        <f>IF('15-PODO'!N15="","",'15-PODO'!N15)</f>
        <v/>
      </c>
      <c r="Q240">
        <f>IF('15-PODO'!O15="","",'15-PODO'!O15)</f>
        <v>862</v>
      </c>
    </row>
    <row r="241" spans="1:18">
      <c r="B241" s="18" t="str">
        <f>B225</f>
        <v>LIGNE 12 : A15</v>
      </c>
      <c r="C241" s="18" t="e">
        <f>VLOOKUP($A$45,$A$226:$I$240,3,FALSE)</f>
        <v>#N/A</v>
      </c>
      <c r="D241" s="64" t="e">
        <f>VLOOKUP($A$27,$A$226:$I$240,4,FALSE)</f>
        <v>#N/A</v>
      </c>
      <c r="E241" s="46" t="e">
        <f>VLOOKUP($A$27,$A$226:$I$240,5,FALSE)</f>
        <v>#N/A</v>
      </c>
      <c r="F241" s="65" t="e">
        <f>VLOOKUP($A$27,$A$226:$I$240,6,FALSE)</f>
        <v>#N/A</v>
      </c>
      <c r="G241" s="46" t="e">
        <f>VLOOKUP($A$27,$A$226:$I$240,7,FALSE)</f>
        <v>#N/A</v>
      </c>
      <c r="H241" s="65" t="e">
        <f>VLOOKUP($A$27,$A$226:$I$240,8,FALSE)</f>
        <v>#N/A</v>
      </c>
      <c r="I241" s="65" t="e">
        <f>VLOOKUP($A$27,$A$226:$I$240,9,FALSE)</f>
        <v>#N/A</v>
      </c>
      <c r="J241" s="66" t="e">
        <f>IF(LEFT(C241,5)="TOTAL",1,0)</f>
        <v>#N/A</v>
      </c>
      <c r="K241" s="18" t="e">
        <f>VLOOKUP($A$27,$J$226:$Q$240,2,FALSE)</f>
        <v>#N/A</v>
      </c>
      <c r="L241" s="18" t="e">
        <f>VLOOKUP($A$27,$J$226:$Q$240,3,FALSE)</f>
        <v>#N/A</v>
      </c>
      <c r="M241" s="18" t="e">
        <f>VLOOKUP($A$27,$J$226:$Q$240,4,FALSE)</f>
        <v>#N/A</v>
      </c>
      <c r="N241" s="18" t="e">
        <f>VLOOKUP($A$27,$J$226:$Q$240,5,FALSE)</f>
        <v>#N/A</v>
      </c>
      <c r="O241" s="18" t="e">
        <f>VLOOKUP($A$27,$J$226:$Q$240,6,FALSE)</f>
        <v>#N/A</v>
      </c>
      <c r="P241" s="18" t="e">
        <f>VLOOKUP($A$27,$J$226:$Q$240,7,FALSE)</f>
        <v>#N/A</v>
      </c>
      <c r="Q241" s="18" t="e">
        <f>VLOOKUP($A$27,$J$226:$Q$240,8,FALSE)</f>
        <v>#N/A</v>
      </c>
      <c r="R241" s="66" t="e">
        <f>IF(LEFT(K241,5)="TOTAL",1,0)</f>
        <v>#N/A</v>
      </c>
    </row>
    <row r="243" spans="1:18">
      <c r="A243">
        <f>CAS</f>
        <v>0</v>
      </c>
      <c r="B243" t="s">
        <v>147</v>
      </c>
      <c r="D243" s="8" t="s">
        <v>19</v>
      </c>
      <c r="E243" s="8" t="s">
        <v>60</v>
      </c>
      <c r="F243" s="8" t="s">
        <v>61</v>
      </c>
      <c r="G243" s="8" t="s">
        <v>66</v>
      </c>
      <c r="H243" s="8" t="s">
        <v>64</v>
      </c>
      <c r="I243" s="8" t="s">
        <v>65</v>
      </c>
    </row>
    <row r="244" spans="1:18" ht="15">
      <c r="A244">
        <v>1</v>
      </c>
      <c r="B244" t="s">
        <v>106</v>
      </c>
      <c r="C244" t="str">
        <f>IF('1-ARTISAN'!A16="","",'1-ARTISAN'!A16)</f>
        <v/>
      </c>
      <c r="D244" t="str">
        <f>IF('1-ARTISAN'!B16="","",'1-ARTISAN'!B16)</f>
        <v/>
      </c>
      <c r="E244" t="str">
        <f>IF('1-ARTISAN'!C16="","",'1-ARTISAN'!C16)</f>
        <v/>
      </c>
      <c r="F244" t="str">
        <f>IF('1-ARTISAN'!D16="","",'1-ARTISAN'!D16)</f>
        <v/>
      </c>
      <c r="G244" t="str">
        <f>IF('1-ARTISAN'!E16="","",'1-ARTISAN'!E16)</f>
        <v/>
      </c>
      <c r="H244" t="str">
        <f>IF('1-ARTISAN'!F16="","",'1-ARTISAN'!F16)</f>
        <v/>
      </c>
      <c r="I244" t="str">
        <f>IF('1-ARTISAN'!G16="","",'1-ARTISAN'!G16)</f>
        <v/>
      </c>
      <c r="J244">
        <v>1</v>
      </c>
      <c r="K244" t="str">
        <f>IF('1-ARTISAN'!I16="","",'1-ARTISAN'!I16)</f>
        <v/>
      </c>
      <c r="L244" t="str">
        <f>IF('1-ARTISAN'!J16="","",'1-ARTISAN'!J16)</f>
        <v/>
      </c>
      <c r="M244" t="str">
        <f>IF('1-ARTISAN'!K16="","",'1-ARTISAN'!K16)</f>
        <v/>
      </c>
      <c r="N244" t="str">
        <f>IF('1-ARTISAN'!L16="","",'1-ARTISAN'!L16)</f>
        <v/>
      </c>
      <c r="O244" t="str">
        <f>IF('1-ARTISAN'!M16="","",'1-ARTISAN'!M16)</f>
        <v/>
      </c>
      <c r="P244" t="str">
        <f>IF('1-ARTISAN'!N16="","",'1-ARTISAN'!N16)</f>
        <v/>
      </c>
      <c r="Q244" t="str">
        <f>IF('1-ARTISAN'!O16="","",'1-ARTISAN'!O16)</f>
        <v/>
      </c>
    </row>
    <row r="245" spans="1:18" ht="15">
      <c r="A245">
        <v>2</v>
      </c>
      <c r="B245" t="s">
        <v>107</v>
      </c>
      <c r="C245" s="67" t="str">
        <f>""</f>
        <v/>
      </c>
      <c r="D245" s="67" t="str">
        <f>""</f>
        <v/>
      </c>
      <c r="E245" s="67" t="str">
        <f>""</f>
        <v/>
      </c>
      <c r="F245" s="67" t="str">
        <f>""</f>
        <v/>
      </c>
      <c r="G245" s="67" t="str">
        <f>""</f>
        <v/>
      </c>
      <c r="H245" s="67" t="str">
        <f>""</f>
        <v/>
      </c>
      <c r="I245" s="67" t="str">
        <f>""</f>
        <v/>
      </c>
      <c r="J245">
        <v>2</v>
      </c>
      <c r="K245" s="67" t="str">
        <f>""</f>
        <v/>
      </c>
      <c r="L245" s="67" t="str">
        <f>""</f>
        <v/>
      </c>
      <c r="M245" s="67" t="str">
        <f>""</f>
        <v/>
      </c>
      <c r="N245" s="67" t="str">
        <f>""</f>
        <v/>
      </c>
      <c r="O245" s="67" t="str">
        <f>""</f>
        <v/>
      </c>
      <c r="P245" s="67" t="str">
        <f>""</f>
        <v/>
      </c>
      <c r="Q245" s="67" t="str">
        <f>""</f>
        <v/>
      </c>
    </row>
    <row r="246" spans="1:18" ht="15">
      <c r="A246">
        <v>3</v>
      </c>
      <c r="B246" t="s">
        <v>108</v>
      </c>
      <c r="C246" t="str">
        <f>IF('3-Chir_dent'!A16="","",'3-Chir_dent'!A16)</f>
        <v xml:space="preserve">Prestations vieillesse Forfaitaire </v>
      </c>
      <c r="D246" t="str">
        <f>IF('3-Chir_dent'!B16="","",'3-Chir_dent'!B16)</f>
        <v/>
      </c>
      <c r="E246" t="str">
        <f>IF('3-Chir_dent'!C16="","",'3-Chir_dent'!C16)</f>
        <v/>
      </c>
      <c r="F246">
        <f>IF('3-Chir_dent'!D16="","",'3-Chir_dent'!D16)</f>
        <v>1619</v>
      </c>
      <c r="G246" t="str">
        <f>IF('3-Chir_dent'!E16="","",'3-Chir_dent'!E16)</f>
        <v/>
      </c>
      <c r="H246" t="str">
        <f>IF('3-Chir_dent'!F16="","",'3-Chir_dent'!F16)</f>
        <v/>
      </c>
      <c r="I246">
        <f>IF('3-Chir_dent'!G16="","",'3-Chir_dent'!G16)</f>
        <v>1619</v>
      </c>
      <c r="J246">
        <v>3</v>
      </c>
      <c r="K246" t="str">
        <f>IF('3-Chir_dent'!I16="","",'3-Chir_dent'!I16)</f>
        <v xml:space="preserve">Prestations vieillesse Forfaitaire </v>
      </c>
      <c r="L246" t="str">
        <f>IF('3-Chir_dent'!J16="","",'3-Chir_dent'!J16)</f>
        <v/>
      </c>
      <c r="M246" t="str">
        <f>IF('3-Chir_dent'!K16="","",'3-Chir_dent'!K16)</f>
        <v/>
      </c>
      <c r="N246">
        <f>IF('3-Chir_dent'!L16="","",'3-Chir_dent'!L16)</f>
        <v>1619</v>
      </c>
      <c r="O246" t="str">
        <f>IF('3-Chir_dent'!M16="","",'3-Chir_dent'!M16)</f>
        <v/>
      </c>
      <c r="P246" t="str">
        <f>IF('3-Chir_dent'!N16="","",'3-Chir_dent'!N16)</f>
        <v/>
      </c>
      <c r="Q246">
        <f>IF('3-Chir_dent'!O16="","",'3-Chir_dent'!O16)</f>
        <v>1619</v>
      </c>
    </row>
    <row r="247" spans="1:18" ht="15">
      <c r="A247">
        <v>4</v>
      </c>
      <c r="B247" t="s">
        <v>109</v>
      </c>
      <c r="C247" t="str">
        <f>IF('4-COMMERCANT'!A16="","",'4-COMMERCANT'!A16)</f>
        <v/>
      </c>
      <c r="D247" t="str">
        <f>IF('4-COMMERCANT'!B16="","",'4-COMMERCANT'!B16)</f>
        <v/>
      </c>
      <c r="E247" t="str">
        <f>IF('4-COMMERCANT'!C16="","",'4-COMMERCANT'!C16)</f>
        <v/>
      </c>
      <c r="F247" t="str">
        <f>IF('4-COMMERCANT'!D16="","",'4-COMMERCANT'!D16)</f>
        <v/>
      </c>
      <c r="G247" t="str">
        <f>IF('4-COMMERCANT'!E16="","",'4-COMMERCANT'!E16)</f>
        <v/>
      </c>
      <c r="H247" t="str">
        <f>IF('4-COMMERCANT'!F16="","",'4-COMMERCANT'!F16)</f>
        <v/>
      </c>
      <c r="I247" t="str">
        <f>IF('4-COMMERCANT'!G16="","",'4-COMMERCANT'!G16)</f>
        <v/>
      </c>
      <c r="J247">
        <v>4</v>
      </c>
      <c r="K247" t="str">
        <f>IF('4-COMMERCANT'!I16="","",'4-COMMERCANT'!I16)</f>
        <v/>
      </c>
      <c r="L247" t="str">
        <f>IF('4-COMMERCANT'!J16="","",'4-COMMERCANT'!J16)</f>
        <v/>
      </c>
      <c r="M247" t="str">
        <f>IF('4-COMMERCANT'!K16="","",'4-COMMERCANT'!K16)</f>
        <v/>
      </c>
      <c r="N247" t="str">
        <f>IF('4-COMMERCANT'!L16="","",'4-COMMERCANT'!L16)</f>
        <v/>
      </c>
      <c r="O247" t="str">
        <f>IF('4-COMMERCANT'!M16="","",'4-COMMERCANT'!M16)</f>
        <v/>
      </c>
      <c r="P247" t="str">
        <f>IF('4-COMMERCANT'!N16="","",'4-COMMERCANT'!N16)</f>
        <v/>
      </c>
      <c r="Q247" t="str">
        <f>IF('4-COMMERCANT'!O16="","",'4-COMMERCANT'!O16)</f>
        <v/>
      </c>
    </row>
    <row r="248" spans="1:18" ht="15">
      <c r="A248">
        <v>5</v>
      </c>
      <c r="B248" t="s">
        <v>110</v>
      </c>
      <c r="C248" s="67" t="str">
        <f>""</f>
        <v/>
      </c>
      <c r="D248" s="67" t="str">
        <f>""</f>
        <v/>
      </c>
      <c r="E248" s="67" t="str">
        <f>""</f>
        <v/>
      </c>
      <c r="F248" s="67" t="str">
        <f>""</f>
        <v/>
      </c>
      <c r="G248" s="67" t="str">
        <f>""</f>
        <v/>
      </c>
      <c r="H248" s="67" t="str">
        <f>""</f>
        <v/>
      </c>
      <c r="I248" s="67" t="str">
        <f>""</f>
        <v/>
      </c>
      <c r="J248">
        <v>5</v>
      </c>
      <c r="K248" s="67" t="str">
        <f>""</f>
        <v/>
      </c>
      <c r="L248" s="67" t="str">
        <f>""</f>
        <v/>
      </c>
      <c r="M248" s="67" t="str">
        <f>""</f>
        <v/>
      </c>
      <c r="N248" s="67" t="str">
        <f>""</f>
        <v/>
      </c>
      <c r="O248" s="67" t="str">
        <f>""</f>
        <v/>
      </c>
      <c r="P248" s="67" t="str">
        <f>""</f>
        <v/>
      </c>
      <c r="Q248" s="67" t="str">
        <f>""</f>
        <v/>
      </c>
    </row>
    <row r="249" spans="1:18" ht="15">
      <c r="A249">
        <v>6</v>
      </c>
      <c r="B249" t="s">
        <v>111</v>
      </c>
      <c r="C249" t="str">
        <f>IF('6-MédS1'!A16="","",'6-MédS1'!A16)</f>
        <v>ASV Cot. Forfaitaire</v>
      </c>
      <c r="D249" t="str">
        <f>IF('6-MédS1'!B16="","",'6-MédS1'!B16)</f>
        <v/>
      </c>
      <c r="E249" t="str">
        <f>IF('6-MédS1'!C16="","",'6-MédS1'!C16)</f>
        <v/>
      </c>
      <c r="F249">
        <f>IF('6-MédS1'!D16="","",'6-MédS1'!D16)</f>
        <v>5421</v>
      </c>
      <c r="G249" t="str">
        <f>IF('6-MédS1'!E16="","",'6-MédS1'!E16)</f>
        <v/>
      </c>
      <c r="H249">
        <f>IF('6-MédS1'!F16="","",'6-MédS1'!F16)</f>
        <v>3614</v>
      </c>
      <c r="I249">
        <f>IF('6-MédS1'!G16="","",'6-MédS1'!G16)</f>
        <v>1807</v>
      </c>
      <c r="J249">
        <v>6</v>
      </c>
      <c r="K249" t="str">
        <f>IF('6-MédS1'!I16="","",'6-MédS1'!I16)</f>
        <v>ASV Cot. Forfaitaire</v>
      </c>
      <c r="L249" t="str">
        <f>IF('6-MédS1'!J16="","",'6-MédS1'!J16)</f>
        <v/>
      </c>
      <c r="M249" t="str">
        <f>IF('6-MédS1'!K16="","",'6-MédS1'!K16)</f>
        <v/>
      </c>
      <c r="N249">
        <f>IF('6-MédS1'!L16="","",'6-MédS1'!L16)</f>
        <v>5421</v>
      </c>
      <c r="O249" t="str">
        <f>IF('6-MédS1'!M16="","",'6-MédS1'!M16)</f>
        <v/>
      </c>
      <c r="P249">
        <f>IF('6-MédS1'!N16="","",'6-MédS1'!N16)</f>
        <v>3614</v>
      </c>
      <c r="Q249">
        <f>IF('6-MédS1'!O16="","",'6-MédS1'!O16)</f>
        <v>1807</v>
      </c>
    </row>
    <row r="250" spans="1:18" ht="15">
      <c r="A250">
        <v>7</v>
      </c>
      <c r="B250" t="s">
        <v>112</v>
      </c>
      <c r="C250" t="str">
        <f>IF('7-MédS2'!A16="","",'7-MédS2'!A16)</f>
        <v>ASV Cot. Forfaitaire</v>
      </c>
      <c r="D250" t="str">
        <f>IF('7-MédS2'!B16="","",'7-MédS2'!B16)</f>
        <v/>
      </c>
      <c r="E250" t="str">
        <f>IF('7-MédS2'!C16="","",'7-MédS2'!C16)</f>
        <v/>
      </c>
      <c r="F250">
        <f>IF('7-MédS2'!D16="","",'7-MédS2'!D16)</f>
        <v>5421</v>
      </c>
      <c r="G250" t="str">
        <f>IF('7-MédS2'!E16="","",'7-MédS2'!E16)</f>
        <v/>
      </c>
      <c r="H250" t="str">
        <f>IF('7-MédS2'!F16="","",'7-MédS2'!F16)</f>
        <v/>
      </c>
      <c r="I250">
        <f>IF('7-MédS2'!G16="","",'7-MédS2'!G16)</f>
        <v>5421</v>
      </c>
      <c r="J250">
        <v>7</v>
      </c>
      <c r="K250" t="str">
        <f>IF('7-MédS2'!I16="","",'7-MédS2'!I16)</f>
        <v>ASV Cot. Forfaitaire</v>
      </c>
      <c r="L250" t="str">
        <f>IF('7-MédS2'!J16="","",'7-MédS2'!J16)</f>
        <v/>
      </c>
      <c r="M250" t="str">
        <f>IF('7-MédS2'!K16="","",'7-MédS2'!K16)</f>
        <v/>
      </c>
      <c r="N250">
        <f>IF('7-MédS2'!L16="","",'7-MédS2'!L16)</f>
        <v>5421</v>
      </c>
      <c r="O250" t="str">
        <f>IF('7-MédS2'!M16="","",'7-MédS2'!M16)</f>
        <v/>
      </c>
      <c r="P250" t="str">
        <f>IF('7-MédS2'!N16="","",'7-MédS2'!N16)</f>
        <v/>
      </c>
      <c r="Q250">
        <f>IF('7-MédS2'!O16="","",'7-MédS2'!O16)</f>
        <v>5421</v>
      </c>
    </row>
    <row r="251" spans="1:18" ht="15">
      <c r="A251">
        <v>8</v>
      </c>
      <c r="B251" t="s">
        <v>113</v>
      </c>
      <c r="C251" t="str">
        <f>IF('8-PAM'!A16="","",'8-PAM'!A16)</f>
        <v>Invalidité-décès</v>
      </c>
      <c r="D251" t="str">
        <f>IF('8-PAM'!B16="","",'8-PAM'!B16)</f>
        <v/>
      </c>
      <c r="E251" t="str">
        <f>IF('8-PAM'!C16="","",'8-PAM'!C16)</f>
        <v/>
      </c>
      <c r="F251">
        <f>IF('8-PAM'!D16="","",'8-PAM'!D16)</f>
        <v>862</v>
      </c>
      <c r="G251" t="str">
        <f>IF('8-PAM'!E16="","",'8-PAM'!E16)</f>
        <v/>
      </c>
      <c r="H251" t="str">
        <f>IF('8-PAM'!F16="","",'8-PAM'!F16)</f>
        <v/>
      </c>
      <c r="I251">
        <f>IF('8-PAM'!G16="","",'8-PAM'!G16)</f>
        <v>862</v>
      </c>
      <c r="J251">
        <v>8</v>
      </c>
      <c r="K251" t="str">
        <f>IF('8-PAM'!I16="","",'8-PAM'!I16)</f>
        <v>Invalidité-décès</v>
      </c>
      <c r="L251" t="str">
        <f>IF('8-PAM'!J16="","",'8-PAM'!J16)</f>
        <v/>
      </c>
      <c r="M251" t="str">
        <f>IF('8-PAM'!K16="","",'8-PAM'!K16)</f>
        <v/>
      </c>
      <c r="N251">
        <f>IF('8-PAM'!L16="","",'8-PAM'!L16)</f>
        <v>862</v>
      </c>
      <c r="O251" t="str">
        <f>IF('8-PAM'!M16="","",'8-PAM'!M16)</f>
        <v/>
      </c>
      <c r="P251" t="str">
        <f>IF('8-PAM'!N16="","",'8-PAM'!N16)</f>
        <v/>
      </c>
      <c r="Q251">
        <f>IF('8-PAM'!O16="","",'8-PAM'!O16)</f>
        <v>862</v>
      </c>
    </row>
    <row r="252" spans="1:18" ht="15">
      <c r="A252">
        <v>9</v>
      </c>
      <c r="B252" t="s">
        <v>114</v>
      </c>
      <c r="C252" t="str">
        <f>IF('9-CIPAV'!A16="","",'9-CIPAV'!A16)</f>
        <v/>
      </c>
      <c r="D252" t="str">
        <f>IF('9-CIPAV'!B16="","",'9-CIPAV'!B16)</f>
        <v/>
      </c>
      <c r="E252" t="str">
        <f>IF('9-CIPAV'!C16="","",'9-CIPAV'!C16)</f>
        <v/>
      </c>
      <c r="F252" t="str">
        <f>IF('9-CIPAV'!D16="","",'9-CIPAV'!D16)</f>
        <v/>
      </c>
      <c r="G252" t="str">
        <f>IF('9-CIPAV'!E16="","",'9-CIPAV'!E16)</f>
        <v/>
      </c>
      <c r="H252" t="str">
        <f>IF('9-CIPAV'!F16="","",'9-CIPAV'!F16)</f>
        <v/>
      </c>
      <c r="I252" t="str">
        <f>IF('9-CIPAV'!G16="","",'9-CIPAV'!G16)</f>
        <v/>
      </c>
      <c r="J252">
        <v>9</v>
      </c>
      <c r="K252" t="str">
        <f>IF('9-CIPAV'!I16="","",'9-CIPAV'!I16)</f>
        <v/>
      </c>
      <c r="L252" t="str">
        <f>IF('9-CIPAV'!J16="","",'9-CIPAV'!J16)</f>
        <v/>
      </c>
      <c r="M252" t="str">
        <f>IF('9-CIPAV'!K16="","",'9-CIPAV'!K16)</f>
        <v/>
      </c>
      <c r="N252" t="str">
        <f>IF('9-CIPAV'!L16="","",'9-CIPAV'!L16)</f>
        <v/>
      </c>
      <c r="O252" t="str">
        <f>IF('9-CIPAV'!M16="","",'9-CIPAV'!M16)</f>
        <v/>
      </c>
      <c r="P252" t="str">
        <f>IF('9-CIPAV'!N16="","",'9-CIPAV'!N16)</f>
        <v/>
      </c>
      <c r="Q252" t="str">
        <f>IF('9-CIPAV'!O16="","",'9-CIPAV'!O16)</f>
        <v/>
      </c>
    </row>
    <row r="253" spans="1:18" ht="15">
      <c r="A253">
        <v>10</v>
      </c>
      <c r="B253" t="s">
        <v>115</v>
      </c>
      <c r="C253" s="67" t="str">
        <f>""</f>
        <v/>
      </c>
      <c r="D253" s="67" t="str">
        <f>""</f>
        <v/>
      </c>
      <c r="E253" s="67" t="str">
        <f>""</f>
        <v/>
      </c>
      <c r="F253" s="67" t="str">
        <f>""</f>
        <v/>
      </c>
      <c r="G253" s="67" t="str">
        <f>""</f>
        <v/>
      </c>
      <c r="H253" s="67" t="str">
        <f>""</f>
        <v/>
      </c>
      <c r="I253" s="67" t="str">
        <f>""</f>
        <v/>
      </c>
      <c r="J253">
        <v>10</v>
      </c>
      <c r="K253" s="67" t="str">
        <f>""</f>
        <v/>
      </c>
      <c r="L253" s="67" t="str">
        <f>""</f>
        <v/>
      </c>
      <c r="M253" s="67" t="str">
        <f>""</f>
        <v/>
      </c>
      <c r="N253" s="67" t="str">
        <f>""</f>
        <v/>
      </c>
      <c r="O253" s="67" t="str">
        <f>""</f>
        <v/>
      </c>
      <c r="P253" s="67" t="str">
        <f>""</f>
        <v/>
      </c>
      <c r="Q253" s="67" t="str">
        <f>""</f>
        <v/>
      </c>
    </row>
    <row r="254" spans="1:18" ht="15">
      <c r="A254">
        <v>11</v>
      </c>
      <c r="B254" t="s">
        <v>116</v>
      </c>
      <c r="C254" t="str">
        <f>IF('11-SF'!A16="","",'11-SF'!A16)</f>
        <v xml:space="preserve">Prestations vieillesse Forfaitaire </v>
      </c>
      <c r="D254" t="str">
        <f>IF('11-SF'!B16="","",'11-SF'!B16)</f>
        <v/>
      </c>
      <c r="E254" t="str">
        <f>IF('11-SF'!C16="","",'11-SF'!C16)</f>
        <v/>
      </c>
      <c r="F254">
        <f>IF('11-SF'!D16="","",'11-SF'!D16)</f>
        <v>780</v>
      </c>
      <c r="G254" t="str">
        <f>IF('11-SF'!E16="","",'11-SF'!E16)</f>
        <v>PCPAM</v>
      </c>
      <c r="H254">
        <f>IF('11-SF'!F16="","",'11-SF'!F16)</f>
        <v>520</v>
      </c>
      <c r="I254">
        <f>IF('11-SF'!G16="","",'11-SF'!G16)</f>
        <v>260</v>
      </c>
      <c r="J254">
        <v>11</v>
      </c>
      <c r="K254" t="str">
        <f>IF('11-SF'!I16="","",'11-SF'!I16)</f>
        <v xml:space="preserve">Prestations vieillesse Forfaitaire </v>
      </c>
      <c r="L254" t="str">
        <f>IF('11-SF'!J16="","",'11-SF'!J16)</f>
        <v/>
      </c>
      <c r="M254" t="str">
        <f>IF('11-SF'!K16="","",'11-SF'!K16)</f>
        <v/>
      </c>
      <c r="N254">
        <f>IF('11-SF'!L16="","",'11-SF'!L16)</f>
        <v>780</v>
      </c>
      <c r="O254" t="str">
        <f>IF('11-SF'!M16="","",'11-SF'!M16)</f>
        <v>PCPAM</v>
      </c>
      <c r="P254">
        <f>IF('11-SF'!N16="","",'11-SF'!N16)</f>
        <v>520</v>
      </c>
      <c r="Q254">
        <f>IF('11-SF'!O16="","",'11-SF'!O16)</f>
        <v>260</v>
      </c>
    </row>
    <row r="255" spans="1:18" ht="15">
      <c r="A255">
        <v>12</v>
      </c>
      <c r="B255" t="s">
        <v>117</v>
      </c>
      <c r="C255" s="67" t="str">
        <f>""</f>
        <v/>
      </c>
      <c r="D255" s="67" t="str">
        <f>""</f>
        <v/>
      </c>
      <c r="E255" s="67" t="str">
        <f>""</f>
        <v/>
      </c>
      <c r="F255" s="67" t="str">
        <f>""</f>
        <v/>
      </c>
      <c r="G255" s="67" t="str">
        <f>""</f>
        <v/>
      </c>
      <c r="H255" s="67" t="str">
        <f>""</f>
        <v/>
      </c>
      <c r="I255" s="67" t="str">
        <f>""</f>
        <v/>
      </c>
      <c r="J255">
        <v>12</v>
      </c>
      <c r="K255" s="67" t="str">
        <f>""</f>
        <v/>
      </c>
      <c r="L255" s="67" t="str">
        <f>""</f>
        <v/>
      </c>
      <c r="M255" s="67" t="str">
        <f>""</f>
        <v/>
      </c>
      <c r="N255" s="67" t="str">
        <f>""</f>
        <v/>
      </c>
      <c r="O255" s="67" t="str">
        <f>""</f>
        <v/>
      </c>
      <c r="P255" s="67" t="str">
        <f>""</f>
        <v/>
      </c>
      <c r="Q255" s="67" t="str">
        <f>""</f>
        <v/>
      </c>
    </row>
    <row r="256" spans="1:18" ht="15">
      <c r="A256">
        <v>13</v>
      </c>
      <c r="B256" t="s">
        <v>168</v>
      </c>
      <c r="C256" s="67" t="str">
        <f>""</f>
        <v/>
      </c>
      <c r="D256" s="67" t="str">
        <f>""</f>
        <v/>
      </c>
      <c r="E256" s="67" t="str">
        <f>""</f>
        <v/>
      </c>
      <c r="F256" s="67" t="str">
        <f>""</f>
        <v/>
      </c>
      <c r="G256" s="67" t="str">
        <f>""</f>
        <v/>
      </c>
      <c r="H256" s="67" t="str">
        <f>""</f>
        <v/>
      </c>
      <c r="I256" s="67" t="str">
        <f>""</f>
        <v/>
      </c>
      <c r="J256" s="67">
        <v>13</v>
      </c>
      <c r="K256" s="67" t="str">
        <f>""</f>
        <v/>
      </c>
      <c r="L256" s="67" t="str">
        <f>""</f>
        <v/>
      </c>
      <c r="M256" s="67" t="str">
        <f>""</f>
        <v/>
      </c>
      <c r="N256" s="67" t="str">
        <f>""</f>
        <v/>
      </c>
      <c r="O256" s="67" t="str">
        <f>""</f>
        <v/>
      </c>
      <c r="P256" s="67" t="str">
        <f>""</f>
        <v/>
      </c>
      <c r="Q256" s="67" t="str">
        <f>""</f>
        <v/>
      </c>
    </row>
    <row r="257" spans="1:18" ht="15">
      <c r="A257">
        <v>14</v>
      </c>
      <c r="B257" t="s">
        <v>169</v>
      </c>
      <c r="C257" s="67" t="str">
        <f>""</f>
        <v/>
      </c>
      <c r="D257" s="67" t="str">
        <f>""</f>
        <v/>
      </c>
      <c r="E257" s="67" t="str">
        <f>""</f>
        <v/>
      </c>
      <c r="F257" s="67" t="str">
        <f>""</f>
        <v/>
      </c>
      <c r="G257" s="67" t="str">
        <f>""</f>
        <v/>
      </c>
      <c r="H257" s="67" t="str">
        <f>""</f>
        <v/>
      </c>
      <c r="I257" s="67" t="str">
        <f>""</f>
        <v/>
      </c>
      <c r="J257">
        <v>14</v>
      </c>
      <c r="K257" s="67" t="str">
        <f>""</f>
        <v/>
      </c>
      <c r="L257" s="67" t="str">
        <f>""</f>
        <v/>
      </c>
      <c r="M257" s="67" t="str">
        <f>""</f>
        <v/>
      </c>
      <c r="N257" s="67" t="str">
        <f>""</f>
        <v/>
      </c>
      <c r="O257" s="67" t="str">
        <f>""</f>
        <v/>
      </c>
      <c r="P257" s="67" t="str">
        <f>""</f>
        <v/>
      </c>
      <c r="Q257" s="67" t="str">
        <f>""</f>
        <v/>
      </c>
    </row>
    <row r="258" spans="1:18" ht="15">
      <c r="A258">
        <v>15</v>
      </c>
      <c r="B258" t="s">
        <v>203</v>
      </c>
      <c r="C258" s="67" t="str">
        <f>IF('15-PODO'!A16="","",'15-PODO'!A16)</f>
        <v xml:space="preserve">ASV Forfaitaire </v>
      </c>
      <c r="D258" s="67" t="str">
        <f>IF('15-PODO'!B16="","",'15-PODO'!B16)</f>
        <v/>
      </c>
      <c r="E258" s="67" t="str">
        <f>IF('15-PODO'!C16="","",'15-PODO'!C16)</f>
        <v/>
      </c>
      <c r="F258" s="67">
        <f>IF('15-PODO'!D16="","",'15-PODO'!D16)</f>
        <v>634</v>
      </c>
      <c r="G258" s="67" t="str">
        <f>IF('15-PODO'!E16="","",'15-PODO'!E16)</f>
        <v/>
      </c>
      <c r="H258" s="67" t="str">
        <f>IF('15-PODO'!F16="","",'15-PODO'!F16)</f>
        <v/>
      </c>
      <c r="I258" s="67">
        <f>IF('15-PODO'!G16="","",'15-PODO'!G16)</f>
        <v>634</v>
      </c>
      <c r="J258" s="67">
        <v>15</v>
      </c>
      <c r="K258" s="67" t="str">
        <f>IF('15-PODO'!I16="","",'15-PODO'!I16)</f>
        <v xml:space="preserve">ASV Forfaitaire </v>
      </c>
      <c r="L258" s="67" t="str">
        <f>IF('15-PODO'!J16="","",'15-PODO'!J16)</f>
        <v/>
      </c>
      <c r="M258" s="67" t="str">
        <f>IF('15-PODO'!K16="","",'15-PODO'!K16)</f>
        <v/>
      </c>
      <c r="N258" s="67">
        <f>IF('15-PODO'!L16="","",'15-PODO'!L16)</f>
        <v>634</v>
      </c>
      <c r="O258" s="67" t="str">
        <f>IF('15-PODO'!M16="","",'15-PODO'!M16)</f>
        <v/>
      </c>
      <c r="P258" s="67" t="str">
        <f>IF('15-PODO'!N16="","",'15-PODO'!N16)</f>
        <v/>
      </c>
      <c r="Q258" s="67">
        <f>IF('15-PODO'!O16="","",'15-PODO'!O16)</f>
        <v>634</v>
      </c>
    </row>
    <row r="259" spans="1:18">
      <c r="B259" s="18" t="str">
        <f>B243</f>
        <v>LIGNE 13 : A16</v>
      </c>
      <c r="C259" s="18" t="e">
        <f>VLOOKUP($A$45,$A$244:$I$258,3,FALSE)</f>
        <v>#N/A</v>
      </c>
      <c r="D259" s="64" t="e">
        <f>VLOOKUP($A$27,$A$244:$I$258,4,FALSE)</f>
        <v>#N/A</v>
      </c>
      <c r="E259" s="46" t="e">
        <f>VLOOKUP($A$27,$A$244:$I$258,5,FALSE)</f>
        <v>#N/A</v>
      </c>
      <c r="F259" s="65" t="e">
        <f>VLOOKUP($A$27,$A$244:$I$258,6,FALSE)</f>
        <v>#N/A</v>
      </c>
      <c r="G259" s="46" t="e">
        <f>VLOOKUP($A$27,$A$244:$I$258,7,FALSE)</f>
        <v>#N/A</v>
      </c>
      <c r="H259" s="65" t="e">
        <f>VLOOKUP($A$27,$A$244:$I$258,8,FALSE)</f>
        <v>#N/A</v>
      </c>
      <c r="I259" s="65" t="e">
        <f>VLOOKUP($A$27,$A$244:$I$258,9,FALSE)</f>
        <v>#N/A</v>
      </c>
      <c r="J259" s="66" t="e">
        <f>IF(LEFT(C259,5)="TOTAL",1,0)</f>
        <v>#N/A</v>
      </c>
      <c r="K259" s="18" t="e">
        <f>VLOOKUP($A$27,$J$244:$Q$258,2,FALSE)</f>
        <v>#N/A</v>
      </c>
      <c r="L259" s="18" t="e">
        <f>VLOOKUP($A$27,$J$244:$Q$258,3,FALSE)</f>
        <v>#N/A</v>
      </c>
      <c r="M259" s="18" t="e">
        <f>VLOOKUP($A$27,$J$244:$Q$258,4,FALSE)</f>
        <v>#N/A</v>
      </c>
      <c r="N259" s="18" t="e">
        <f>VLOOKUP($A$27,$J$244:$Q$258,5,FALSE)</f>
        <v>#N/A</v>
      </c>
      <c r="O259" s="18" t="e">
        <f>VLOOKUP($A$27,$J$244:$Q$258,6,FALSE)</f>
        <v>#N/A</v>
      </c>
      <c r="P259" s="18" t="e">
        <f>VLOOKUP($A$27,$J$244:$Q$258,7,FALSE)</f>
        <v>#N/A</v>
      </c>
      <c r="Q259" s="18" t="e">
        <f>VLOOKUP($A$27,$J$244:$Q$258,8,FALSE)</f>
        <v>#N/A</v>
      </c>
      <c r="R259" s="66" t="e">
        <f>IF(LEFT(K259,5)="TOTAL",1,0)</f>
        <v>#N/A</v>
      </c>
    </row>
    <row r="261" spans="1:18">
      <c r="A261">
        <f>CAS</f>
        <v>0</v>
      </c>
      <c r="B261" t="s">
        <v>148</v>
      </c>
      <c r="D261" s="8" t="s">
        <v>19</v>
      </c>
      <c r="E261" s="8" t="s">
        <v>60</v>
      </c>
      <c r="F261" s="8" t="s">
        <v>61</v>
      </c>
      <c r="G261" s="8" t="s">
        <v>66</v>
      </c>
      <c r="H261" s="8" t="s">
        <v>64</v>
      </c>
      <c r="I261" s="8" t="s">
        <v>65</v>
      </c>
    </row>
    <row r="262" spans="1:18" ht="15">
      <c r="A262">
        <v>1</v>
      </c>
      <c r="B262" t="s">
        <v>106</v>
      </c>
      <c r="C262" s="67" t="str">
        <f>""</f>
        <v/>
      </c>
      <c r="D262" s="67" t="str">
        <f>""</f>
        <v/>
      </c>
      <c r="E262" s="67" t="str">
        <f>""</f>
        <v/>
      </c>
      <c r="F262" s="67" t="str">
        <f>""</f>
        <v/>
      </c>
      <c r="G262" s="67" t="str">
        <f>""</f>
        <v/>
      </c>
      <c r="H262" s="67" t="str">
        <f>""</f>
        <v/>
      </c>
      <c r="I262" s="67" t="str">
        <f>""</f>
        <v/>
      </c>
      <c r="J262">
        <v>1</v>
      </c>
      <c r="K262" s="67" t="str">
        <f>""</f>
        <v/>
      </c>
      <c r="L262" s="67" t="str">
        <f>""</f>
        <v/>
      </c>
      <c r="M262" s="67" t="str">
        <f>""</f>
        <v/>
      </c>
      <c r="N262" s="67" t="str">
        <f>""</f>
        <v/>
      </c>
      <c r="O262" s="67" t="str">
        <f>""</f>
        <v/>
      </c>
      <c r="P262" s="67" t="str">
        <f>""</f>
        <v/>
      </c>
      <c r="Q262" s="67" t="str">
        <f>""</f>
        <v/>
      </c>
    </row>
    <row r="263" spans="1:18" ht="15">
      <c r="A263">
        <v>2</v>
      </c>
      <c r="B263" t="s">
        <v>107</v>
      </c>
      <c r="C263" s="67" t="str">
        <f>""</f>
        <v/>
      </c>
      <c r="D263" s="67" t="str">
        <f>""</f>
        <v/>
      </c>
      <c r="E263" s="67" t="str">
        <f>""</f>
        <v/>
      </c>
      <c r="F263" s="67" t="str">
        <f>""</f>
        <v/>
      </c>
      <c r="G263" s="67" t="str">
        <f>""</f>
        <v/>
      </c>
      <c r="H263" s="67" t="str">
        <f>""</f>
        <v/>
      </c>
      <c r="I263" s="67" t="str">
        <f>""</f>
        <v/>
      </c>
      <c r="J263">
        <v>2</v>
      </c>
      <c r="K263" s="67" t="str">
        <f>""</f>
        <v/>
      </c>
      <c r="L263" s="67" t="str">
        <f>""</f>
        <v/>
      </c>
      <c r="M263" s="67" t="str">
        <f>""</f>
        <v/>
      </c>
      <c r="N263" s="67" t="str">
        <f>""</f>
        <v/>
      </c>
      <c r="O263" s="67" t="str">
        <f>""</f>
        <v/>
      </c>
      <c r="P263" s="67" t="str">
        <f>""</f>
        <v/>
      </c>
      <c r="Q263" s="67" t="str">
        <f>""</f>
        <v/>
      </c>
    </row>
    <row r="264" spans="1:18" ht="15">
      <c r="A264">
        <v>3</v>
      </c>
      <c r="B264" t="s">
        <v>108</v>
      </c>
      <c r="C264" t="str">
        <f>IF('3-Chir_dent'!A17="","",'3-Chir_dent'!A17)</f>
        <v xml:space="preserve">Prestations vieillesse Proportionnelle </v>
      </c>
      <c r="D264">
        <f>IF('3-Chir_dent'!B17="","",'3-Chir_dent'!B17)</f>
        <v>0</v>
      </c>
      <c r="E264">
        <f>IF('3-Chir_dent'!C17="","",'3-Chir_dent'!C17)</f>
        <v>7.2500000000000004E-3</v>
      </c>
      <c r="F264">
        <f>IF('3-Chir_dent'!D17="","",'3-Chir_dent'!D17)</f>
        <v>0</v>
      </c>
      <c r="G264" t="str">
        <f>IF('3-Chir_dent'!E17="","",'3-Chir_dent'!E17)</f>
        <v/>
      </c>
      <c r="H264" t="str">
        <f>IF('3-Chir_dent'!F17="","",'3-Chir_dent'!F17)</f>
        <v/>
      </c>
      <c r="I264">
        <f>IF('3-Chir_dent'!G17="","",'3-Chir_dent'!G17)</f>
        <v>0</v>
      </c>
      <c r="J264">
        <v>3</v>
      </c>
      <c r="K264" t="str">
        <f>IF('3-Chir_dent'!I17="","",'3-Chir_dent'!I17)</f>
        <v xml:space="preserve">Prestations vieillesse Proportionnelle </v>
      </c>
      <c r="L264">
        <f>IF('3-Chir_dent'!J17="","",'3-Chir_dent'!J17)</f>
        <v>0</v>
      </c>
      <c r="M264">
        <f>IF('3-Chir_dent'!K17="","",'3-Chir_dent'!K17)</f>
        <v>7.2500000000000004E-3</v>
      </c>
      <c r="N264">
        <f>IF('3-Chir_dent'!L17="","",'3-Chir_dent'!L17)</f>
        <v>0</v>
      </c>
      <c r="O264" t="str">
        <f>IF('3-Chir_dent'!M17="","",'3-Chir_dent'!M17)</f>
        <v/>
      </c>
      <c r="P264" t="str">
        <f>IF('3-Chir_dent'!N17="","",'3-Chir_dent'!N17)</f>
        <v/>
      </c>
      <c r="Q264">
        <f>IF('3-Chir_dent'!O17="","",'3-Chir_dent'!O17)</f>
        <v>0</v>
      </c>
    </row>
    <row r="265" spans="1:18" ht="15">
      <c r="A265">
        <v>4</v>
      </c>
      <c r="B265" t="s">
        <v>109</v>
      </c>
      <c r="C265" s="67" t="str">
        <f>""</f>
        <v/>
      </c>
      <c r="D265" s="67" t="str">
        <f>""</f>
        <v/>
      </c>
      <c r="E265" s="67" t="str">
        <f>""</f>
        <v/>
      </c>
      <c r="F265" s="67" t="str">
        <f>""</f>
        <v/>
      </c>
      <c r="G265" s="67" t="str">
        <f>""</f>
        <v/>
      </c>
      <c r="H265" s="67" t="str">
        <f>""</f>
        <v/>
      </c>
      <c r="I265" s="67" t="str">
        <f>""</f>
        <v/>
      </c>
      <c r="J265">
        <v>4</v>
      </c>
      <c r="K265" s="67" t="str">
        <f>""</f>
        <v/>
      </c>
      <c r="L265" s="67" t="str">
        <f>""</f>
        <v/>
      </c>
      <c r="M265" s="67" t="str">
        <f>""</f>
        <v/>
      </c>
      <c r="N265" s="67" t="str">
        <f>""</f>
        <v/>
      </c>
      <c r="O265" s="67" t="str">
        <f>""</f>
        <v/>
      </c>
      <c r="P265" s="67" t="str">
        <f>""</f>
        <v/>
      </c>
      <c r="Q265" s="67" t="str">
        <f>""</f>
        <v/>
      </c>
    </row>
    <row r="266" spans="1:18" ht="15">
      <c r="A266">
        <v>5</v>
      </c>
      <c r="B266" t="s">
        <v>110</v>
      </c>
      <c r="C266" s="67" t="str">
        <f>""</f>
        <v/>
      </c>
      <c r="D266" s="67" t="str">
        <f>""</f>
        <v/>
      </c>
      <c r="E266" s="67" t="str">
        <f>""</f>
        <v/>
      </c>
      <c r="F266" s="67" t="str">
        <f>""</f>
        <v/>
      </c>
      <c r="G266" s="67" t="str">
        <f>""</f>
        <v/>
      </c>
      <c r="H266" s="67" t="str">
        <f>""</f>
        <v/>
      </c>
      <c r="I266" s="67" t="str">
        <f>""</f>
        <v/>
      </c>
      <c r="J266">
        <v>5</v>
      </c>
      <c r="K266" s="67" t="str">
        <f>""</f>
        <v/>
      </c>
      <c r="L266" s="67" t="str">
        <f>""</f>
        <v/>
      </c>
      <c r="M266" s="67" t="str">
        <f>""</f>
        <v/>
      </c>
      <c r="N266" s="67" t="str">
        <f>""</f>
        <v/>
      </c>
      <c r="O266" s="67" t="str">
        <f>""</f>
        <v/>
      </c>
      <c r="P266" s="67" t="str">
        <f>""</f>
        <v/>
      </c>
      <c r="Q266" s="67" t="str">
        <f>""</f>
        <v/>
      </c>
    </row>
    <row r="267" spans="1:18" ht="15">
      <c r="A267">
        <v>6</v>
      </c>
      <c r="B267" t="s">
        <v>111</v>
      </c>
      <c r="C267" t="str">
        <f>IF('6-MédS1'!A17="","",'6-MédS1'!A17)</f>
        <v>ASV Cot. Proportionnelle</v>
      </c>
      <c r="D267">
        <f>IF('6-MédS1'!B17="","",'6-MédS1'!B17)</f>
        <v>0</v>
      </c>
      <c r="E267">
        <f>IF('6-MédS1'!C17="","",'6-MédS1'!C17)</f>
        <v>0</v>
      </c>
      <c r="F267">
        <f>IF('6-MédS1'!D17="","",'6-MédS1'!D17)</f>
        <v>0</v>
      </c>
      <c r="G267" t="str">
        <f>IF('6-MédS1'!E17="","",'6-MédS1'!E17)</f>
        <v>PCPAM</v>
      </c>
      <c r="H267">
        <f>IF('6-MédS1'!F17="","",'6-MédS1'!F17)</f>
        <v>0</v>
      </c>
      <c r="I267">
        <f>IF('6-MédS1'!G17="","",'6-MédS1'!G17)</f>
        <v>0</v>
      </c>
      <c r="J267">
        <v>6</v>
      </c>
      <c r="K267" t="str">
        <f>IF('6-MédS1'!I17="","",'6-MédS1'!I17)</f>
        <v>ASV Cot. Proportionnelle</v>
      </c>
      <c r="L267">
        <f>IF('6-MédS1'!J17="","",'6-MédS1'!J17)</f>
        <v>0</v>
      </c>
      <c r="M267">
        <f>IF('6-MédS1'!K17="","",'6-MédS1'!K17)</f>
        <v>0</v>
      </c>
      <c r="N267">
        <f>IF('6-MédS1'!L17="","",'6-MédS1'!L17)</f>
        <v>0</v>
      </c>
      <c r="O267" t="str">
        <f>IF('6-MédS1'!M17="","",'6-MédS1'!M17)</f>
        <v/>
      </c>
      <c r="P267">
        <f>IF('6-MédS1'!N17="","",'6-MédS1'!N17)</f>
        <v>0</v>
      </c>
      <c r="Q267">
        <f>IF('6-MédS1'!O17="","",'6-MédS1'!O17)</f>
        <v>0</v>
      </c>
    </row>
    <row r="268" spans="1:18" ht="15">
      <c r="A268">
        <v>7</v>
      </c>
      <c r="B268" t="s">
        <v>112</v>
      </c>
      <c r="C268" t="str">
        <f>IF('7-MédS2'!A17="","",'7-MédS2'!A17)</f>
        <v>ASV Cot. Proportionnelle</v>
      </c>
      <c r="D268">
        <f>IF('7-MédS2'!B17="","",'7-MédS2'!B17)</f>
        <v>0</v>
      </c>
      <c r="E268">
        <f>IF('7-MédS2'!C17="","",'7-MédS2'!C17)</f>
        <v>0</v>
      </c>
      <c r="F268">
        <f>IF('7-MédS2'!D17="","",'7-MédS2'!D17)</f>
        <v>0</v>
      </c>
      <c r="G268" t="str">
        <f>IF('7-MédS2'!E17="","",'7-MédS2'!E17)</f>
        <v/>
      </c>
      <c r="H268" t="str">
        <f>IF('7-MédS2'!F17="","",'7-MédS2'!F17)</f>
        <v/>
      </c>
      <c r="I268">
        <f>IF('7-MédS2'!G17="","",'7-MédS2'!G17)</f>
        <v>0</v>
      </c>
      <c r="J268">
        <v>7</v>
      </c>
      <c r="K268" t="str">
        <f>IF('7-MédS2'!I17="","",'7-MédS2'!I17)</f>
        <v>ASV Cot. Proportionnelle</v>
      </c>
      <c r="L268">
        <f>IF('7-MédS2'!J17="","",'7-MédS2'!J17)</f>
        <v>0</v>
      </c>
      <c r="M268">
        <f>IF('7-MédS2'!K17="","",'7-MédS2'!K17)</f>
        <v>0</v>
      </c>
      <c r="N268">
        <f>IF('7-MédS2'!L17="","",'7-MédS2'!L17)</f>
        <v>0</v>
      </c>
      <c r="O268" t="str">
        <f>IF('7-MédS2'!M17="","",'7-MédS2'!M17)</f>
        <v/>
      </c>
      <c r="P268" t="str">
        <f>IF('7-MédS2'!N17="","",'7-MédS2'!N17)</f>
        <v/>
      </c>
      <c r="Q268">
        <f>IF('7-MédS2'!O17="","",'7-MédS2'!O17)</f>
        <v>0</v>
      </c>
    </row>
    <row r="269" spans="1:18" ht="15">
      <c r="A269">
        <v>8</v>
      </c>
      <c r="B269" t="s">
        <v>113</v>
      </c>
      <c r="C269" t="str">
        <f>IF('8-PAM'!A17="","",'8-PAM'!A17)</f>
        <v xml:space="preserve">ASV Forfaitaire </v>
      </c>
      <c r="D269" t="str">
        <f>IF('8-PAM'!B17="","",'8-PAM'!B17)</f>
        <v/>
      </c>
      <c r="E269" t="str">
        <f>IF('8-PAM'!C17="","",'8-PAM'!C17)</f>
        <v/>
      </c>
      <c r="F269">
        <f>IF('8-PAM'!D17="","",'8-PAM'!D17)</f>
        <v>634</v>
      </c>
      <c r="G269" t="str">
        <f>IF('8-PAM'!E17="","",'8-PAM'!E17)</f>
        <v>PCPAM</v>
      </c>
      <c r="H269">
        <f>IF('8-PAM'!F17="","",'8-PAM'!F17)</f>
        <v>423</v>
      </c>
      <c r="I269">
        <f>IF('8-PAM'!G17="","",'8-PAM'!G17)</f>
        <v>211</v>
      </c>
      <c r="J269">
        <v>8</v>
      </c>
      <c r="K269" t="str">
        <f>IF('8-PAM'!I17="","",'8-PAM'!I17)</f>
        <v xml:space="preserve">ASV Forfaitaire </v>
      </c>
      <c r="L269" t="str">
        <f>IF('8-PAM'!J17="","",'8-PAM'!J17)</f>
        <v/>
      </c>
      <c r="M269" t="str">
        <f>IF('8-PAM'!K17="","",'8-PAM'!K17)</f>
        <v/>
      </c>
      <c r="N269">
        <f>IF('8-PAM'!L17="","",'8-PAM'!L17)</f>
        <v>634</v>
      </c>
      <c r="O269" t="str">
        <f>IF('8-PAM'!M17="","",'8-PAM'!M17)</f>
        <v>PCPAM</v>
      </c>
      <c r="P269">
        <f>IF('8-PAM'!N17="","",'8-PAM'!N17)</f>
        <v>423</v>
      </c>
      <c r="Q269">
        <f>IF('8-PAM'!O17="","",'8-PAM'!O17)</f>
        <v>211</v>
      </c>
    </row>
    <row r="270" spans="1:18" ht="15">
      <c r="A270">
        <v>9</v>
      </c>
      <c r="B270" t="s">
        <v>114</v>
      </c>
      <c r="C270" s="67" t="str">
        <f>""</f>
        <v/>
      </c>
      <c r="D270" s="67" t="str">
        <f>""</f>
        <v/>
      </c>
      <c r="E270" s="67" t="str">
        <f>""</f>
        <v/>
      </c>
      <c r="F270" s="67" t="str">
        <f>""</f>
        <v/>
      </c>
      <c r="G270" s="67" t="str">
        <f>""</f>
        <v/>
      </c>
      <c r="H270" s="67" t="str">
        <f>""</f>
        <v/>
      </c>
      <c r="I270" s="67" t="str">
        <f>""</f>
        <v/>
      </c>
      <c r="J270">
        <v>9</v>
      </c>
      <c r="K270" s="67" t="str">
        <f>""</f>
        <v/>
      </c>
      <c r="L270" s="67" t="str">
        <f>""</f>
        <v/>
      </c>
      <c r="M270" s="67" t="str">
        <f>""</f>
        <v/>
      </c>
      <c r="N270" s="67" t="str">
        <f>""</f>
        <v/>
      </c>
      <c r="O270" s="67" t="str">
        <f>""</f>
        <v/>
      </c>
      <c r="P270" s="67" t="str">
        <f>""</f>
        <v/>
      </c>
      <c r="Q270" s="67" t="str">
        <f>""</f>
        <v/>
      </c>
    </row>
    <row r="271" spans="1:18" ht="15">
      <c r="A271">
        <v>10</v>
      </c>
      <c r="B271" t="s">
        <v>115</v>
      </c>
      <c r="C271" s="67" t="str">
        <f>""</f>
        <v/>
      </c>
      <c r="D271" s="67" t="str">
        <f>""</f>
        <v/>
      </c>
      <c r="E271" s="67" t="str">
        <f>""</f>
        <v/>
      </c>
      <c r="F271" s="67" t="str">
        <f>""</f>
        <v/>
      </c>
      <c r="G271" s="67" t="str">
        <f>""</f>
        <v/>
      </c>
      <c r="H271" s="67" t="str">
        <f>""</f>
        <v/>
      </c>
      <c r="I271" s="67" t="str">
        <f>""</f>
        <v/>
      </c>
      <c r="J271">
        <v>10</v>
      </c>
      <c r="K271" s="67" t="str">
        <f>""</f>
        <v/>
      </c>
      <c r="L271" s="67" t="str">
        <f>""</f>
        <v/>
      </c>
      <c r="M271" s="67" t="str">
        <f>""</f>
        <v/>
      </c>
      <c r="N271" s="67" t="str">
        <f>""</f>
        <v/>
      </c>
      <c r="O271" s="67" t="str">
        <f>""</f>
        <v/>
      </c>
      <c r="P271" s="67" t="str">
        <f>""</f>
        <v/>
      </c>
      <c r="Q271" s="67" t="str">
        <f>""</f>
        <v/>
      </c>
    </row>
    <row r="272" spans="1:18" ht="15">
      <c r="A272">
        <v>11</v>
      </c>
      <c r="B272" t="s">
        <v>116</v>
      </c>
      <c r="C272" t="str">
        <f>IF('11-SF'!A17="","",'11-SF'!A17)</f>
        <v>Invalidité-décès</v>
      </c>
      <c r="D272" t="str">
        <f>IF('11-SF'!B17="","",'11-SF'!B17)</f>
        <v/>
      </c>
      <c r="E272" t="str">
        <f>IF('11-SF'!C17="","",'11-SF'!C17)</f>
        <v/>
      </c>
      <c r="F272">
        <f>IF('11-SF'!D17="","",'11-SF'!D17)</f>
        <v>351</v>
      </c>
      <c r="G272" t="str">
        <f>IF('11-SF'!E17="","",'11-SF'!E17)</f>
        <v/>
      </c>
      <c r="H272" t="str">
        <f>IF('11-SF'!F17="","",'11-SF'!F17)</f>
        <v/>
      </c>
      <c r="I272">
        <f>IF('11-SF'!G17="","",'11-SF'!G17)</f>
        <v>351</v>
      </c>
      <c r="J272">
        <v>11</v>
      </c>
      <c r="K272" t="str">
        <f>IF('11-SF'!I17="","",'11-SF'!I17)</f>
        <v>Invalidité-décès</v>
      </c>
      <c r="L272" t="str">
        <f>IF('11-SF'!J17="","",'11-SF'!J17)</f>
        <v/>
      </c>
      <c r="M272" t="str">
        <f>IF('11-SF'!K17="","",'11-SF'!K17)</f>
        <v/>
      </c>
      <c r="N272">
        <f>IF('11-SF'!L17="","",'11-SF'!L17)</f>
        <v>351</v>
      </c>
      <c r="O272" t="str">
        <f>IF('11-SF'!M17="","",'11-SF'!M17)</f>
        <v/>
      </c>
      <c r="P272" t="str">
        <f>IF('11-SF'!N17="","",'11-SF'!N17)</f>
        <v/>
      </c>
      <c r="Q272">
        <f>IF('11-SF'!O17="","",'11-SF'!O17)</f>
        <v>351</v>
      </c>
    </row>
    <row r="273" spans="1:18" ht="15">
      <c r="A273">
        <v>12</v>
      </c>
      <c r="B273" t="s">
        <v>117</v>
      </c>
      <c r="C273" s="67" t="str">
        <f>""</f>
        <v/>
      </c>
      <c r="D273" s="67" t="str">
        <f>""</f>
        <v/>
      </c>
      <c r="E273" s="67" t="str">
        <f>""</f>
        <v/>
      </c>
      <c r="F273" s="67" t="str">
        <f>""</f>
        <v/>
      </c>
      <c r="G273" s="67" t="str">
        <f>""</f>
        <v/>
      </c>
      <c r="H273" s="67" t="str">
        <f>""</f>
        <v/>
      </c>
      <c r="I273" s="67" t="str">
        <f>""</f>
        <v/>
      </c>
      <c r="J273">
        <v>12</v>
      </c>
      <c r="K273" s="67" t="str">
        <f>""</f>
        <v/>
      </c>
      <c r="L273" s="67" t="str">
        <f>""</f>
        <v/>
      </c>
      <c r="M273" s="67" t="str">
        <f>""</f>
        <v/>
      </c>
      <c r="N273" s="67" t="str">
        <f>""</f>
        <v/>
      </c>
      <c r="O273" s="67" t="str">
        <f>""</f>
        <v/>
      </c>
      <c r="P273" s="67" t="str">
        <f>""</f>
        <v/>
      </c>
      <c r="Q273" s="67" t="str">
        <f>""</f>
        <v/>
      </c>
    </row>
    <row r="274" spans="1:18" ht="15">
      <c r="A274">
        <v>13</v>
      </c>
      <c r="B274" t="s">
        <v>168</v>
      </c>
      <c r="C274" s="67" t="str">
        <f>""</f>
        <v/>
      </c>
      <c r="D274" s="67" t="str">
        <f>""</f>
        <v/>
      </c>
      <c r="E274" s="67" t="str">
        <f>""</f>
        <v/>
      </c>
      <c r="F274" s="67" t="str">
        <f>""</f>
        <v/>
      </c>
      <c r="G274" s="67" t="str">
        <f>""</f>
        <v/>
      </c>
      <c r="H274" s="67" t="str">
        <f>""</f>
        <v/>
      </c>
      <c r="I274" s="67" t="str">
        <f>""</f>
        <v/>
      </c>
      <c r="J274" s="67">
        <v>13</v>
      </c>
      <c r="K274" s="67" t="str">
        <f>""</f>
        <v/>
      </c>
      <c r="L274" s="67" t="str">
        <f>""</f>
        <v/>
      </c>
      <c r="M274" s="67" t="str">
        <f>""</f>
        <v/>
      </c>
      <c r="N274" s="67" t="str">
        <f>""</f>
        <v/>
      </c>
      <c r="O274" s="67" t="str">
        <f>""</f>
        <v/>
      </c>
      <c r="P274" s="67" t="str">
        <f>""</f>
        <v/>
      </c>
      <c r="Q274" s="67" t="str">
        <f>""</f>
        <v/>
      </c>
    </row>
    <row r="275" spans="1:18" ht="15">
      <c r="A275">
        <v>14</v>
      </c>
      <c r="B275" t="s">
        <v>169</v>
      </c>
      <c r="C275" s="67" t="str">
        <f>""</f>
        <v/>
      </c>
      <c r="D275" s="67" t="str">
        <f>""</f>
        <v/>
      </c>
      <c r="E275" s="67" t="str">
        <f>""</f>
        <v/>
      </c>
      <c r="F275" s="67" t="str">
        <f>""</f>
        <v/>
      </c>
      <c r="G275" s="67" t="str">
        <f>""</f>
        <v/>
      </c>
      <c r="H275" s="67" t="str">
        <f>""</f>
        <v/>
      </c>
      <c r="I275" s="67" t="str">
        <f>""</f>
        <v/>
      </c>
      <c r="J275">
        <v>14</v>
      </c>
      <c r="K275" s="67" t="str">
        <f>""</f>
        <v/>
      </c>
      <c r="L275" s="67" t="str">
        <f>""</f>
        <v/>
      </c>
      <c r="M275" s="67" t="str">
        <f>""</f>
        <v/>
      </c>
      <c r="N275" s="67" t="str">
        <f>""</f>
        <v/>
      </c>
      <c r="O275" s="67" t="str">
        <f>""</f>
        <v/>
      </c>
      <c r="P275" s="67" t="str">
        <f>""</f>
        <v/>
      </c>
      <c r="Q275" s="67" t="str">
        <f>""</f>
        <v/>
      </c>
    </row>
    <row r="276" spans="1:18" ht="15">
      <c r="A276">
        <v>15</v>
      </c>
      <c r="B276" t="s">
        <v>203</v>
      </c>
      <c r="C276" s="67" t="str">
        <f>IF('15-PODO'!A17="","",'15-PODO'!A17)</f>
        <v xml:space="preserve">ASV Proportionnelle </v>
      </c>
      <c r="D276" s="67">
        <f>IF('15-PODO'!B17="","",'15-PODO'!B17)</f>
        <v>0</v>
      </c>
      <c r="E276" s="67">
        <f>IF('15-PODO'!C17="","",'15-PODO'!C17)</f>
        <v>4.0000000000000001E-3</v>
      </c>
      <c r="F276" s="67">
        <f>IF('15-PODO'!D17="","",'15-PODO'!D17)</f>
        <v>0</v>
      </c>
      <c r="G276" s="67" t="str">
        <f>IF('15-PODO'!E17="","",'15-PODO'!E17)</f>
        <v/>
      </c>
      <c r="H276" s="67" t="str">
        <f>IF('15-PODO'!F17="","",'15-PODO'!F17)</f>
        <v/>
      </c>
      <c r="I276" s="67">
        <f>IF('15-PODO'!G17="","",'15-PODO'!G17)</f>
        <v>0</v>
      </c>
      <c r="J276" s="67">
        <v>15</v>
      </c>
      <c r="K276" s="67" t="str">
        <f>IF('15-PODO'!I17="","",'15-PODO'!I17)</f>
        <v xml:space="preserve">ASV Proportionnelle </v>
      </c>
      <c r="L276" s="67">
        <f>IF('15-PODO'!J17="","",'15-PODO'!J17)</f>
        <v>0</v>
      </c>
      <c r="M276" s="67">
        <f>IF('15-PODO'!K17="","",'15-PODO'!K17)</f>
        <v>4.0000000000000001E-3</v>
      </c>
      <c r="N276" s="67">
        <f>IF('15-PODO'!L17="","",'15-PODO'!L17)</f>
        <v>0</v>
      </c>
      <c r="O276" s="67" t="str">
        <f>IF('15-PODO'!M17="","",'15-PODO'!M17)</f>
        <v/>
      </c>
      <c r="P276" s="67" t="str">
        <f>IF('15-PODO'!N17="","",'15-PODO'!N17)</f>
        <v/>
      </c>
      <c r="Q276" s="67">
        <f>IF('15-PODO'!O17="","",'15-PODO'!O17)</f>
        <v>0</v>
      </c>
    </row>
    <row r="277" spans="1:18">
      <c r="B277" s="18" t="str">
        <f>B261</f>
        <v>LIGNE 14 : A17</v>
      </c>
      <c r="C277" s="18" t="e">
        <f>VLOOKUP($A$45,$A$262:$I$276,3,FALSE)</f>
        <v>#N/A</v>
      </c>
      <c r="D277" s="64" t="e">
        <f>VLOOKUP($A$27,$A$262:$I$276,4,FALSE)</f>
        <v>#N/A</v>
      </c>
      <c r="E277" s="46" t="e">
        <f>VLOOKUP($A$27,$A$262:$I$276,5,FALSE)</f>
        <v>#N/A</v>
      </c>
      <c r="F277" s="65" t="e">
        <f>VLOOKUP($A$27,$A$262:$I$276,6,FALSE)</f>
        <v>#N/A</v>
      </c>
      <c r="G277" s="46" t="e">
        <f>VLOOKUP($A$27,$A$262:$I$276,7,FALSE)</f>
        <v>#N/A</v>
      </c>
      <c r="H277" s="65" t="e">
        <f>VLOOKUP($A$27,$A$262:$I$276,8,FALSE)</f>
        <v>#N/A</v>
      </c>
      <c r="I277" s="65" t="e">
        <f>VLOOKUP($A$27,$A$262:$I$276,9,FALSE)</f>
        <v>#N/A</v>
      </c>
      <c r="J277" s="66" t="e">
        <f>IF(LEFT(C277,5)="TOTAL",1,0)</f>
        <v>#N/A</v>
      </c>
      <c r="K277" s="18" t="e">
        <f>VLOOKUP($A$27,$J$262:$Q$276,2,FALSE)</f>
        <v>#N/A</v>
      </c>
      <c r="L277" s="18" t="e">
        <f>VLOOKUP($A$27,$J$262:$Q$276,3,FALSE)</f>
        <v>#N/A</v>
      </c>
      <c r="M277" s="18" t="e">
        <f>VLOOKUP($A$27,$J$262:$Q$276,4,FALSE)</f>
        <v>#N/A</v>
      </c>
      <c r="N277" s="18" t="e">
        <f>VLOOKUP($A$27,$J$262:$Q$276,5,FALSE)</f>
        <v>#N/A</v>
      </c>
      <c r="O277" s="18" t="e">
        <f>VLOOKUP($A$27,$J$262:$Q$276,6,FALSE)</f>
        <v>#N/A</v>
      </c>
      <c r="P277" s="18" t="e">
        <f>VLOOKUP($A$27,$J$262:$Q$276,7,FALSE)</f>
        <v>#N/A</v>
      </c>
      <c r="Q277" s="18" t="e">
        <f>VLOOKUP($A$27,$J$262:$Q$276,8,FALSE)</f>
        <v>#N/A</v>
      </c>
      <c r="R277" s="66" t="e">
        <f>IF(LEFT(K277,5)="TOTAL",1,0)</f>
        <v>#N/A</v>
      </c>
    </row>
    <row r="279" spans="1:18">
      <c r="A279">
        <f>CAS</f>
        <v>0</v>
      </c>
      <c r="B279" t="s">
        <v>150</v>
      </c>
      <c r="D279" s="8" t="s">
        <v>19</v>
      </c>
      <c r="E279" s="8" t="s">
        <v>60</v>
      </c>
      <c r="F279" s="8" t="s">
        <v>61</v>
      </c>
      <c r="G279" s="8" t="s">
        <v>66</v>
      </c>
      <c r="H279" s="8" t="s">
        <v>64</v>
      </c>
      <c r="I279" s="8" t="s">
        <v>65</v>
      </c>
    </row>
    <row r="280" spans="1:18" ht="15">
      <c r="A280">
        <v>1</v>
      </c>
      <c r="B280" t="s">
        <v>106</v>
      </c>
      <c r="C280" s="67" t="str">
        <f>""</f>
        <v/>
      </c>
      <c r="D280" s="67" t="str">
        <f>""</f>
        <v/>
      </c>
      <c r="E280" s="67" t="str">
        <f>""</f>
        <v/>
      </c>
      <c r="F280" s="67" t="str">
        <f>""</f>
        <v/>
      </c>
      <c r="G280" s="67" t="str">
        <f>""</f>
        <v/>
      </c>
      <c r="H280" s="67" t="str">
        <f>""</f>
        <v/>
      </c>
      <c r="I280" s="67" t="str">
        <f>""</f>
        <v/>
      </c>
      <c r="J280">
        <v>1</v>
      </c>
      <c r="K280" s="67" t="str">
        <f>""</f>
        <v/>
      </c>
      <c r="L280" s="67" t="str">
        <f>""</f>
        <v/>
      </c>
      <c r="M280" s="67" t="str">
        <f>""</f>
        <v/>
      </c>
      <c r="N280" s="67" t="str">
        <f>""</f>
        <v/>
      </c>
      <c r="O280" s="67" t="str">
        <f>""</f>
        <v/>
      </c>
      <c r="P280" s="67" t="str">
        <f>""</f>
        <v/>
      </c>
      <c r="Q280" s="67" t="str">
        <f>""</f>
        <v/>
      </c>
    </row>
    <row r="281" spans="1:18" ht="15">
      <c r="A281">
        <v>2</v>
      </c>
      <c r="B281" t="s">
        <v>107</v>
      </c>
      <c r="C281" s="67" t="str">
        <f>""</f>
        <v/>
      </c>
      <c r="D281" s="67" t="str">
        <f>""</f>
        <v/>
      </c>
      <c r="E281" s="67" t="str">
        <f>""</f>
        <v/>
      </c>
      <c r="F281" s="67" t="str">
        <f>""</f>
        <v/>
      </c>
      <c r="G281" s="67" t="str">
        <f>""</f>
        <v/>
      </c>
      <c r="H281" s="67" t="str">
        <f>""</f>
        <v/>
      </c>
      <c r="I281" s="67" t="str">
        <f>""</f>
        <v/>
      </c>
      <c r="J281">
        <v>2</v>
      </c>
      <c r="K281" s="67" t="str">
        <f>""</f>
        <v/>
      </c>
      <c r="L281" s="67" t="str">
        <f>""</f>
        <v/>
      </c>
      <c r="M281" s="67" t="str">
        <f>""</f>
        <v/>
      </c>
      <c r="N281" s="67" t="str">
        <f>""</f>
        <v/>
      </c>
      <c r="O281" s="67" t="str">
        <f>""</f>
        <v/>
      </c>
      <c r="P281" s="67" t="str">
        <f>""</f>
        <v/>
      </c>
      <c r="Q281" s="67" t="str">
        <f>""</f>
        <v/>
      </c>
    </row>
    <row r="282" spans="1:18" ht="15">
      <c r="A282">
        <v>3</v>
      </c>
      <c r="B282" t="s">
        <v>108</v>
      </c>
      <c r="C282" t="str">
        <f>IF('3-Chir_dent'!A18="","",'3-Chir_dent'!A18)</f>
        <v>Invalidité-décès</v>
      </c>
      <c r="D282" t="str">
        <f>IF('3-Chir_dent'!B18="","",'3-Chir_dent'!B18)</f>
        <v/>
      </c>
      <c r="E282" t="str">
        <f>IF('3-Chir_dent'!C18="","",'3-Chir_dent'!C18)</f>
        <v/>
      </c>
      <c r="F282">
        <f>IF('3-Chir_dent'!D18="","",'3-Chir_dent'!D18)</f>
        <v>1284</v>
      </c>
      <c r="G282" t="str">
        <f>IF('3-Chir_dent'!E18="","",'3-Chir_dent'!E18)</f>
        <v/>
      </c>
      <c r="H282" t="str">
        <f>IF('3-Chir_dent'!F18="","",'3-Chir_dent'!F18)</f>
        <v/>
      </c>
      <c r="I282">
        <f>IF('3-Chir_dent'!G18="","",'3-Chir_dent'!G18)</f>
        <v>1284</v>
      </c>
      <c r="J282">
        <v>3</v>
      </c>
      <c r="K282" t="str">
        <f>IF('3-Chir_dent'!I18="","",'3-Chir_dent'!I18)</f>
        <v>Invalidité-décès</v>
      </c>
      <c r="L282" t="str">
        <f>IF('3-Chir_dent'!J18="","",'3-Chir_dent'!J18)</f>
        <v/>
      </c>
      <c r="M282" t="str">
        <f>IF('3-Chir_dent'!K18="","",'3-Chir_dent'!K18)</f>
        <v/>
      </c>
      <c r="N282">
        <f>IF('3-Chir_dent'!L18="","",'3-Chir_dent'!L18)</f>
        <v>1284</v>
      </c>
      <c r="O282" t="str">
        <f>IF('3-Chir_dent'!M18="","",'3-Chir_dent'!M18)</f>
        <v/>
      </c>
      <c r="P282" t="str">
        <f>IF('3-Chir_dent'!N18="","",'3-Chir_dent'!N18)</f>
        <v/>
      </c>
      <c r="Q282">
        <f>IF('3-Chir_dent'!O18="","",'3-Chir_dent'!O18)</f>
        <v>1284</v>
      </c>
    </row>
    <row r="283" spans="1:18" ht="15">
      <c r="A283">
        <v>4</v>
      </c>
      <c r="B283" t="s">
        <v>109</v>
      </c>
      <c r="C283" s="67" t="str">
        <f>""</f>
        <v/>
      </c>
      <c r="D283" s="67" t="str">
        <f>""</f>
        <v/>
      </c>
      <c r="E283" s="67" t="str">
        <f>""</f>
        <v/>
      </c>
      <c r="F283" s="67" t="str">
        <f>""</f>
        <v/>
      </c>
      <c r="G283" s="67" t="str">
        <f>""</f>
        <v/>
      </c>
      <c r="H283" s="67" t="str">
        <f>""</f>
        <v/>
      </c>
      <c r="I283" s="67" t="str">
        <f>""</f>
        <v/>
      </c>
      <c r="J283">
        <v>4</v>
      </c>
      <c r="K283" s="67" t="str">
        <f>""</f>
        <v/>
      </c>
      <c r="L283" s="67" t="str">
        <f>""</f>
        <v/>
      </c>
      <c r="M283" s="67" t="str">
        <f>""</f>
        <v/>
      </c>
      <c r="N283" s="67" t="str">
        <f>""</f>
        <v/>
      </c>
      <c r="O283" s="67" t="str">
        <f>""</f>
        <v/>
      </c>
      <c r="P283" s="67" t="str">
        <f>""</f>
        <v/>
      </c>
      <c r="Q283" s="67" t="str">
        <f>""</f>
        <v/>
      </c>
    </row>
    <row r="284" spans="1:18" ht="15">
      <c r="A284">
        <v>5</v>
      </c>
      <c r="B284" t="s">
        <v>110</v>
      </c>
      <c r="C284" s="67" t="str">
        <f>""</f>
        <v/>
      </c>
      <c r="D284" s="67" t="str">
        <f>""</f>
        <v/>
      </c>
      <c r="E284" s="67" t="str">
        <f>""</f>
        <v/>
      </c>
      <c r="F284" s="67" t="str">
        <f>""</f>
        <v/>
      </c>
      <c r="G284" s="67" t="str">
        <f>""</f>
        <v/>
      </c>
      <c r="H284" s="67" t="str">
        <f>""</f>
        <v/>
      </c>
      <c r="I284" s="67" t="str">
        <f>""</f>
        <v/>
      </c>
      <c r="J284">
        <v>5</v>
      </c>
      <c r="K284" s="67" t="str">
        <f>""</f>
        <v/>
      </c>
      <c r="L284" s="67" t="str">
        <f>""</f>
        <v/>
      </c>
      <c r="M284" s="67" t="str">
        <f>""</f>
        <v/>
      </c>
      <c r="N284" s="67" t="str">
        <f>""</f>
        <v/>
      </c>
      <c r="O284" s="67" t="str">
        <f>""</f>
        <v/>
      </c>
      <c r="P284" s="67" t="str">
        <f>""</f>
        <v/>
      </c>
      <c r="Q284" s="67" t="str">
        <f>""</f>
        <v/>
      </c>
    </row>
    <row r="285" spans="1:18" ht="15">
      <c r="A285">
        <v>6</v>
      </c>
      <c r="B285" t="s">
        <v>111</v>
      </c>
      <c r="C285" t="str">
        <f>IF('6-MédS1'!A18="","",'6-MédS1'!A18)</f>
        <v>TOTAL CARMF</v>
      </c>
      <c r="D285" t="str">
        <f>IF('6-MédS1'!B18="","",'6-MédS1'!B18)</f>
        <v/>
      </c>
      <c r="E285" t="str">
        <f>IF('6-MédS1'!C18="","",'6-MédS1'!C18)</f>
        <v/>
      </c>
      <c r="F285" t="str">
        <f>IF('6-MédS1'!D18="","",'6-MédS1'!D18)</f>
        <v/>
      </c>
      <c r="G285" t="str">
        <f>IF('6-MédS1'!E18="","",'6-MédS1'!E18)</f>
        <v/>
      </c>
      <c r="H285" t="str">
        <f>IF('6-MédS1'!F18="","",'6-MédS1'!F18)</f>
        <v/>
      </c>
      <c r="I285">
        <f>IF('6-MédS1'!G18="","",'6-MédS1'!G18)</f>
        <v>2967</v>
      </c>
      <c r="J285">
        <v>6</v>
      </c>
      <c r="K285" t="str">
        <f>IF('6-MédS1'!I18="","",'6-MédS1'!I18)</f>
        <v>TOTAL CARMF</v>
      </c>
      <c r="L285" t="str">
        <f>IF('6-MédS1'!J18="","",'6-MédS1'!J18)</f>
        <v/>
      </c>
      <c r="M285" t="str">
        <f>IF('6-MédS1'!K18="","",'6-MédS1'!K18)</f>
        <v/>
      </c>
      <c r="N285" t="str">
        <f>IF('6-MédS1'!L18="","",'6-MédS1'!L18)</f>
        <v/>
      </c>
      <c r="O285" t="str">
        <f>IF('6-MédS1'!M18="","",'6-MédS1'!M18)</f>
        <v/>
      </c>
      <c r="P285" t="str">
        <f>IF('6-MédS1'!N18="","",'6-MédS1'!N18)</f>
        <v/>
      </c>
      <c r="Q285" t="e">
        <f>IF('6-MédS1'!O18="","",'6-MédS1'!O18)</f>
        <v>#DIV/0!</v>
      </c>
    </row>
    <row r="286" spans="1:18" ht="15">
      <c r="A286">
        <v>7</v>
      </c>
      <c r="B286" t="s">
        <v>112</v>
      </c>
      <c r="C286" t="str">
        <f>IF('7-MédS2'!A18="","",'7-MédS2'!A18)</f>
        <v>TOTAL CARMF</v>
      </c>
      <c r="D286" t="str">
        <f>IF('7-MédS2'!B18="","",'7-MédS2'!B18)</f>
        <v/>
      </c>
      <c r="E286" t="str">
        <f>IF('7-MédS2'!C18="","",'7-MédS2'!C18)</f>
        <v/>
      </c>
      <c r="F286" t="str">
        <f>IF('7-MédS2'!D18="","",'7-MédS2'!D18)</f>
        <v/>
      </c>
      <c r="G286" t="str">
        <f>IF('7-MédS2'!E18="","",'7-MédS2'!E18)</f>
        <v/>
      </c>
      <c r="H286" t="str">
        <f>IF('7-MédS2'!F18="","",'7-MédS2'!F18)</f>
        <v/>
      </c>
      <c r="I286">
        <f>IF('7-MédS2'!G18="","",'7-MédS2'!G18)</f>
        <v>6581</v>
      </c>
      <c r="J286">
        <v>7</v>
      </c>
      <c r="K286" t="str">
        <f>IF('7-MédS2'!I18="","",'7-MédS2'!I18)</f>
        <v>TOTAL CARMF</v>
      </c>
      <c r="L286" t="str">
        <f>IF('7-MédS2'!J18="","",'7-MédS2'!J18)</f>
        <v/>
      </c>
      <c r="M286" t="str">
        <f>IF('7-MédS2'!K18="","",'7-MédS2'!K18)</f>
        <v/>
      </c>
      <c r="N286" t="str">
        <f>IF('7-MédS2'!L18="","",'7-MédS2'!L18)</f>
        <v/>
      </c>
      <c r="O286" t="str">
        <f>IF('7-MédS2'!M18="","",'7-MédS2'!M18)</f>
        <v/>
      </c>
      <c r="P286" t="str">
        <f>IF('7-MédS2'!N18="","",'7-MédS2'!N18)</f>
        <v/>
      </c>
      <c r="Q286">
        <f>IF('7-MédS2'!O18="","",'7-MédS2'!O18)</f>
        <v>6581</v>
      </c>
    </row>
    <row r="287" spans="1:18" ht="15">
      <c r="A287">
        <v>8</v>
      </c>
      <c r="B287" t="s">
        <v>113</v>
      </c>
      <c r="C287" t="str">
        <f>IF('8-PAM'!A18="","",'8-PAM'!A18)</f>
        <v xml:space="preserve">ASV Proportionnelle </v>
      </c>
      <c r="D287">
        <f>IF('8-PAM'!B18="","",'8-PAM'!B18)</f>
        <v>0</v>
      </c>
      <c r="E287">
        <f>IF('8-PAM'!C18="","",'8-PAM'!C18)</f>
        <v>4.0000000000000001E-3</v>
      </c>
      <c r="F287">
        <f>IF('8-PAM'!D18="","",'8-PAM'!D18)</f>
        <v>0</v>
      </c>
      <c r="G287" t="str">
        <f>IF('8-PAM'!E18="","",'8-PAM'!E18)</f>
        <v>PCPAM</v>
      </c>
      <c r="H287">
        <f>IF('8-PAM'!F18="","",'8-PAM'!F18)</f>
        <v>0</v>
      </c>
      <c r="I287">
        <f>IF('8-PAM'!G18="","",'8-PAM'!G18)</f>
        <v>0</v>
      </c>
      <c r="J287">
        <v>8</v>
      </c>
      <c r="K287" t="str">
        <f>IF('8-PAM'!I18="","",'8-PAM'!I18)</f>
        <v xml:space="preserve">ASV Proportionnelle </v>
      </c>
      <c r="L287">
        <f>IF('8-PAM'!J18="","",'8-PAM'!J18)</f>
        <v>0</v>
      </c>
      <c r="M287">
        <f>IF('8-PAM'!K18="","",'8-PAM'!K18)</f>
        <v>4.0000000000000001E-3</v>
      </c>
      <c r="N287">
        <f>IF('8-PAM'!L18="","",'8-PAM'!L18)</f>
        <v>0</v>
      </c>
      <c r="O287" t="str">
        <f>IF('8-PAM'!M18="","",'8-PAM'!M18)</f>
        <v>PCPAM</v>
      </c>
      <c r="P287">
        <f>IF('8-PAM'!N18="","",'8-PAM'!N18)</f>
        <v>0</v>
      </c>
      <c r="Q287">
        <f>IF('8-PAM'!O18="","",'8-PAM'!O18)</f>
        <v>0</v>
      </c>
    </row>
    <row r="288" spans="1:18" ht="15">
      <c r="A288">
        <v>9</v>
      </c>
      <c r="B288" t="s">
        <v>114</v>
      </c>
      <c r="C288" s="67" t="str">
        <f>""</f>
        <v/>
      </c>
      <c r="D288" s="67" t="str">
        <f>""</f>
        <v/>
      </c>
      <c r="E288" s="67" t="str">
        <f>""</f>
        <v/>
      </c>
      <c r="F288" s="67" t="str">
        <f>""</f>
        <v/>
      </c>
      <c r="G288" s="67" t="str">
        <f>""</f>
        <v/>
      </c>
      <c r="H288" s="67" t="str">
        <f>""</f>
        <v/>
      </c>
      <c r="I288" s="67" t="str">
        <f>""</f>
        <v/>
      </c>
      <c r="J288">
        <v>9</v>
      </c>
      <c r="K288" s="67" t="str">
        <f>""</f>
        <v/>
      </c>
      <c r="L288" s="67" t="str">
        <f>""</f>
        <v/>
      </c>
      <c r="M288" s="67" t="str">
        <f>""</f>
        <v/>
      </c>
      <c r="N288" s="67" t="str">
        <f>""</f>
        <v/>
      </c>
      <c r="O288" s="67" t="str">
        <f>""</f>
        <v/>
      </c>
      <c r="P288" s="67" t="str">
        <f>""</f>
        <v/>
      </c>
      <c r="Q288" s="67" t="str">
        <f>""</f>
        <v/>
      </c>
    </row>
    <row r="289" spans="1:18" ht="15">
      <c r="A289">
        <v>10</v>
      </c>
      <c r="B289" t="s">
        <v>115</v>
      </c>
      <c r="C289" s="67" t="str">
        <f>""</f>
        <v/>
      </c>
      <c r="D289" s="67" t="str">
        <f>""</f>
        <v/>
      </c>
      <c r="E289" s="67" t="str">
        <f>""</f>
        <v/>
      </c>
      <c r="F289" s="67" t="str">
        <f>""</f>
        <v/>
      </c>
      <c r="G289" s="67" t="str">
        <f>""</f>
        <v/>
      </c>
      <c r="H289" s="67" t="str">
        <f>""</f>
        <v/>
      </c>
      <c r="I289" s="67" t="str">
        <f>""</f>
        <v/>
      </c>
      <c r="J289">
        <v>10</v>
      </c>
      <c r="K289" s="67" t="str">
        <f>""</f>
        <v/>
      </c>
      <c r="L289" s="67" t="str">
        <f>""</f>
        <v/>
      </c>
      <c r="M289" s="67" t="str">
        <f>""</f>
        <v/>
      </c>
      <c r="N289" s="67" t="str">
        <f>""</f>
        <v/>
      </c>
      <c r="O289" s="67" t="str">
        <f>""</f>
        <v/>
      </c>
      <c r="P289" s="67" t="str">
        <f>""</f>
        <v/>
      </c>
      <c r="Q289" s="67" t="str">
        <f>""</f>
        <v/>
      </c>
    </row>
    <row r="290" spans="1:18" ht="15">
      <c r="A290">
        <v>11</v>
      </c>
      <c r="B290" t="s">
        <v>116</v>
      </c>
      <c r="C290" t="str">
        <f>IF('11-SF'!A18="","",'11-SF'!A18)</f>
        <v>TOTAL CARCDSF</v>
      </c>
      <c r="D290" t="str">
        <f>IF('11-SF'!B18="","",'11-SF'!B18)</f>
        <v/>
      </c>
      <c r="E290" t="str">
        <f>IF('11-SF'!C18="","",'11-SF'!C18)</f>
        <v/>
      </c>
      <c r="F290" t="str">
        <f>IF('11-SF'!D18="","",'11-SF'!D18)</f>
        <v/>
      </c>
      <c r="G290" t="str">
        <f>IF('11-SF'!E18="","",'11-SF'!E18)</f>
        <v/>
      </c>
      <c r="H290" t="str">
        <f>IF('11-SF'!F18="","",'11-SF'!F18)</f>
        <v/>
      </c>
      <c r="I290">
        <f>IF('11-SF'!G18="","",'11-SF'!G18)</f>
        <v>4248</v>
      </c>
      <c r="J290">
        <v>11</v>
      </c>
      <c r="K290" t="str">
        <f>IF('11-SF'!I18="","",'11-SF'!I18)</f>
        <v>TOTAL CARCDSF</v>
      </c>
      <c r="L290" t="str">
        <f>IF('11-SF'!J18="","",'11-SF'!J18)</f>
        <v/>
      </c>
      <c r="M290" t="str">
        <f>IF('11-SF'!K18="","",'11-SF'!K18)</f>
        <v/>
      </c>
      <c r="N290" t="str">
        <f>IF('11-SF'!L18="","",'11-SF'!L18)</f>
        <v/>
      </c>
      <c r="O290" t="str">
        <f>IF('11-SF'!M18="","",'11-SF'!M18)</f>
        <v/>
      </c>
      <c r="P290" t="str">
        <f>IF('11-SF'!N18="","",'11-SF'!N18)</f>
        <v/>
      </c>
      <c r="Q290">
        <f>IF('11-SF'!O18="","",'11-SF'!O18)</f>
        <v>4248</v>
      </c>
    </row>
    <row r="291" spans="1:18" ht="15">
      <c r="A291">
        <v>12</v>
      </c>
      <c r="B291" t="s">
        <v>117</v>
      </c>
      <c r="C291" s="67" t="str">
        <f>""</f>
        <v/>
      </c>
      <c r="D291" s="67" t="str">
        <f>""</f>
        <v/>
      </c>
      <c r="E291" s="67" t="str">
        <f>""</f>
        <v/>
      </c>
      <c r="F291" s="67" t="str">
        <f>""</f>
        <v/>
      </c>
      <c r="G291" s="67" t="str">
        <f>""</f>
        <v/>
      </c>
      <c r="H291" s="67" t="str">
        <f>""</f>
        <v/>
      </c>
      <c r="I291" s="67" t="str">
        <f>""</f>
        <v/>
      </c>
      <c r="J291">
        <v>12</v>
      </c>
      <c r="K291" s="67" t="str">
        <f>""</f>
        <v/>
      </c>
      <c r="L291" s="67" t="str">
        <f>""</f>
        <v/>
      </c>
      <c r="M291" s="67" t="str">
        <f>""</f>
        <v/>
      </c>
      <c r="N291" s="67" t="str">
        <f>""</f>
        <v/>
      </c>
      <c r="O291" s="67" t="str">
        <f>""</f>
        <v/>
      </c>
      <c r="P291" s="67" t="str">
        <f>""</f>
        <v/>
      </c>
      <c r="Q291" s="67" t="str">
        <f>""</f>
        <v/>
      </c>
    </row>
    <row r="292" spans="1:18" ht="15">
      <c r="A292">
        <v>13</v>
      </c>
      <c r="B292" t="s">
        <v>168</v>
      </c>
      <c r="C292" s="67" t="str">
        <f>""</f>
        <v/>
      </c>
      <c r="D292" s="67" t="str">
        <f>""</f>
        <v/>
      </c>
      <c r="E292" s="67" t="str">
        <f>""</f>
        <v/>
      </c>
      <c r="F292" s="67" t="str">
        <f>""</f>
        <v/>
      </c>
      <c r="G292" s="67" t="str">
        <f>""</f>
        <v/>
      </c>
      <c r="H292" s="67" t="str">
        <f>""</f>
        <v/>
      </c>
      <c r="I292" s="67" t="str">
        <f>""</f>
        <v/>
      </c>
      <c r="J292" s="67">
        <v>13</v>
      </c>
      <c r="K292" s="67" t="str">
        <f>""</f>
        <v/>
      </c>
      <c r="L292" s="67" t="str">
        <f>""</f>
        <v/>
      </c>
      <c r="M292" s="67" t="str">
        <f>""</f>
        <v/>
      </c>
      <c r="N292" s="67" t="str">
        <f>""</f>
        <v/>
      </c>
      <c r="O292" s="67" t="str">
        <f>""</f>
        <v/>
      </c>
      <c r="P292" s="67" t="str">
        <f>""</f>
        <v/>
      </c>
      <c r="Q292" s="67" t="str">
        <f>""</f>
        <v/>
      </c>
    </row>
    <row r="293" spans="1:18" ht="15">
      <c r="A293">
        <v>14</v>
      </c>
      <c r="B293" t="s">
        <v>169</v>
      </c>
      <c r="C293" s="67" t="str">
        <f>""</f>
        <v/>
      </c>
      <c r="D293" s="67" t="str">
        <f>""</f>
        <v/>
      </c>
      <c r="E293" s="67" t="str">
        <f>""</f>
        <v/>
      </c>
      <c r="F293" s="67" t="str">
        <f>""</f>
        <v/>
      </c>
      <c r="G293" s="67" t="str">
        <f>""</f>
        <v/>
      </c>
      <c r="H293" s="67" t="str">
        <f>""</f>
        <v/>
      </c>
      <c r="I293" s="67" t="str">
        <f>""</f>
        <v/>
      </c>
      <c r="J293">
        <v>14</v>
      </c>
      <c r="K293" s="67" t="str">
        <f>""</f>
        <v/>
      </c>
      <c r="L293" s="67" t="str">
        <f>""</f>
        <v/>
      </c>
      <c r="M293" s="67" t="str">
        <f>""</f>
        <v/>
      </c>
      <c r="N293" s="67" t="str">
        <f>""</f>
        <v/>
      </c>
      <c r="O293" s="67" t="str">
        <f>""</f>
        <v/>
      </c>
      <c r="P293" s="67" t="str">
        <f>""</f>
        <v/>
      </c>
      <c r="Q293" s="67" t="str">
        <f>""</f>
        <v/>
      </c>
    </row>
    <row r="294" spans="1:18" ht="15">
      <c r="A294">
        <v>15</v>
      </c>
      <c r="B294" t="s">
        <v>203</v>
      </c>
      <c r="C294" s="67" t="str">
        <f>IF('15-PODO'!A18="","",'15-PODO'!A18)</f>
        <v>TOTAL CARPIMKO</v>
      </c>
      <c r="D294" s="67" t="str">
        <f>IF('15-PODO'!B18="","",'15-PODO'!B18)</f>
        <v/>
      </c>
      <c r="E294" s="67" t="str">
        <f>IF('15-PODO'!C18="","",'15-PODO'!C18)</f>
        <v/>
      </c>
      <c r="F294" s="67" t="str">
        <f>IF('15-PODO'!D18="","",'15-PODO'!D18)</f>
        <v/>
      </c>
      <c r="G294" s="67" t="str">
        <f>IF('15-PODO'!E18="","",'15-PODO'!E18)</f>
        <v/>
      </c>
      <c r="H294" s="67" t="str">
        <f>IF('15-PODO'!F18="","",'15-PODO'!F18)</f>
        <v/>
      </c>
      <c r="I294" s="67">
        <f>IF('15-PODO'!G18="","",'15-PODO'!G18)</f>
        <v>3969</v>
      </c>
      <c r="J294" s="67">
        <v>15</v>
      </c>
      <c r="K294" s="67" t="str">
        <f>IF('15-PODO'!I18="","",'15-PODO'!I18)</f>
        <v>TOTAL CARPIMKO</v>
      </c>
      <c r="L294" s="67" t="str">
        <f>IF('15-PODO'!J18="","",'15-PODO'!J18)</f>
        <v/>
      </c>
      <c r="M294" s="67" t="str">
        <f>IF('15-PODO'!K18="","",'15-PODO'!K18)</f>
        <v/>
      </c>
      <c r="N294" s="67" t="str">
        <f>IF('15-PODO'!L18="","",'15-PODO'!L18)</f>
        <v/>
      </c>
      <c r="O294" s="67" t="str">
        <f>IF('15-PODO'!M18="","",'15-PODO'!M18)</f>
        <v/>
      </c>
      <c r="P294" s="67" t="str">
        <f>IF('15-PODO'!N18="","",'15-PODO'!N18)</f>
        <v/>
      </c>
      <c r="Q294" s="67">
        <f>IF('15-PODO'!O18="","",'15-PODO'!O18)</f>
        <v>3969</v>
      </c>
    </row>
    <row r="295" spans="1:18">
      <c r="B295" s="18" t="str">
        <f>B279</f>
        <v>LIGNE 15 : A18</v>
      </c>
      <c r="C295" s="18" t="e">
        <f>VLOOKUP($A$45,$A$280:$I$294,3,FALSE)</f>
        <v>#N/A</v>
      </c>
      <c r="D295" s="64" t="e">
        <f>VLOOKUP($A$27,$A$280:$I$294,4,FALSE)</f>
        <v>#N/A</v>
      </c>
      <c r="E295" s="46" t="e">
        <f>VLOOKUP($A$27,$A$280:$I$294,5,FALSE)</f>
        <v>#N/A</v>
      </c>
      <c r="F295" s="65" t="e">
        <f>VLOOKUP($A$27,$A$280:$I$294,6,FALSE)</f>
        <v>#N/A</v>
      </c>
      <c r="G295" s="46" t="e">
        <f>VLOOKUP($A$27,$A$280:$I$294,7,FALSE)</f>
        <v>#N/A</v>
      </c>
      <c r="H295" s="65" t="e">
        <f>VLOOKUP($A$27,$A$280:$I$294,8,FALSE)</f>
        <v>#N/A</v>
      </c>
      <c r="I295" s="65" t="e">
        <f>VLOOKUP($A$27,$A$280:$I$294,9,FALSE)</f>
        <v>#N/A</v>
      </c>
      <c r="J295" s="66" t="e">
        <f>IF(LEFT(C295,5)="TOTAL",1,0)</f>
        <v>#N/A</v>
      </c>
      <c r="K295" s="18" t="e">
        <f>VLOOKUP($A$27,$J$280:$Q$294,2,FALSE)</f>
        <v>#N/A</v>
      </c>
      <c r="L295" s="18" t="e">
        <f>VLOOKUP($A$27,$J$280:$Q$294,3,FALSE)</f>
        <v>#N/A</v>
      </c>
      <c r="M295" s="18" t="e">
        <f>VLOOKUP($A$27,$J$280:$Q$294,4,FALSE)</f>
        <v>#N/A</v>
      </c>
      <c r="N295" s="18" t="e">
        <f>VLOOKUP($A$27,$J$280:$Q$294,5,FALSE)</f>
        <v>#N/A</v>
      </c>
      <c r="O295" s="18" t="e">
        <f>VLOOKUP($A$27,$J$280:$Q$294,6,FALSE)</f>
        <v>#N/A</v>
      </c>
      <c r="P295" s="18" t="e">
        <f>VLOOKUP($A$27,$J$280:$Q$294,7,FALSE)</f>
        <v>#N/A</v>
      </c>
      <c r="Q295" s="18" t="e">
        <f>VLOOKUP($A$27,$J$280:$Q$294,8,FALSE)</f>
        <v>#N/A</v>
      </c>
      <c r="R295" s="66" t="e">
        <f>IF(LEFT(K295,5)="TOTAL",1,0)</f>
        <v>#N/A</v>
      </c>
    </row>
    <row r="297" spans="1:18">
      <c r="A297">
        <f>CAS</f>
        <v>0</v>
      </c>
      <c r="B297" t="s">
        <v>151</v>
      </c>
      <c r="D297" s="8" t="s">
        <v>19</v>
      </c>
      <c r="E297" s="8" t="s">
        <v>60</v>
      </c>
      <c r="F297" s="8" t="s">
        <v>61</v>
      </c>
      <c r="G297" s="8" t="s">
        <v>66</v>
      </c>
      <c r="H297" s="8" t="s">
        <v>64</v>
      </c>
      <c r="I297" s="8" t="s">
        <v>65</v>
      </c>
    </row>
    <row r="298" spans="1:18" ht="15">
      <c r="A298">
        <v>1</v>
      </c>
      <c r="B298" t="s">
        <v>106</v>
      </c>
      <c r="C298" s="67" t="str">
        <f>""</f>
        <v/>
      </c>
      <c r="D298" s="67" t="str">
        <f>""</f>
        <v/>
      </c>
      <c r="E298" s="67" t="str">
        <f>""</f>
        <v/>
      </c>
      <c r="F298" s="67" t="str">
        <f>""</f>
        <v/>
      </c>
      <c r="G298" s="67" t="str">
        <f>""</f>
        <v/>
      </c>
      <c r="H298" s="67" t="str">
        <f>""</f>
        <v/>
      </c>
      <c r="I298" s="67" t="str">
        <f>""</f>
        <v/>
      </c>
      <c r="J298">
        <v>1</v>
      </c>
      <c r="K298" s="67" t="str">
        <f>""</f>
        <v/>
      </c>
      <c r="L298" s="67" t="str">
        <f>""</f>
        <v/>
      </c>
      <c r="M298" s="67" t="str">
        <f>""</f>
        <v/>
      </c>
      <c r="N298" s="67" t="str">
        <f>""</f>
        <v/>
      </c>
      <c r="O298" s="67" t="str">
        <f>""</f>
        <v/>
      </c>
      <c r="P298" s="67" t="str">
        <f>""</f>
        <v/>
      </c>
      <c r="Q298" s="67" t="str">
        <f>""</f>
        <v/>
      </c>
    </row>
    <row r="299" spans="1:18" ht="15">
      <c r="A299">
        <v>2</v>
      </c>
      <c r="B299" t="s">
        <v>107</v>
      </c>
      <c r="C299" s="67" t="str">
        <f>""</f>
        <v/>
      </c>
      <c r="D299" s="67" t="str">
        <f>""</f>
        <v/>
      </c>
      <c r="E299" s="67" t="str">
        <f>""</f>
        <v/>
      </c>
      <c r="F299" s="67" t="str">
        <f>""</f>
        <v/>
      </c>
      <c r="G299" s="67" t="str">
        <f>""</f>
        <v/>
      </c>
      <c r="H299" s="67" t="str">
        <f>""</f>
        <v/>
      </c>
      <c r="I299" s="67" t="str">
        <f>""</f>
        <v/>
      </c>
      <c r="J299">
        <v>2</v>
      </c>
      <c r="K299" s="67" t="str">
        <f>""</f>
        <v/>
      </c>
      <c r="L299" s="67" t="str">
        <f>""</f>
        <v/>
      </c>
      <c r="M299" s="67" t="str">
        <f>""</f>
        <v/>
      </c>
      <c r="N299" s="67" t="str">
        <f>""</f>
        <v/>
      </c>
      <c r="O299" s="67" t="str">
        <f>""</f>
        <v/>
      </c>
      <c r="P299" s="67" t="str">
        <f>""</f>
        <v/>
      </c>
      <c r="Q299" s="67" t="str">
        <f>""</f>
        <v/>
      </c>
    </row>
    <row r="300" spans="1:18" ht="15">
      <c r="A300">
        <v>3</v>
      </c>
      <c r="B300" t="s">
        <v>108</v>
      </c>
      <c r="C300" t="str">
        <f>IF('3-Chir_dent'!A19="","",'3-Chir_dent'!A19)</f>
        <v>TOTAL CARCDSF</v>
      </c>
      <c r="D300" t="str">
        <f>IF('3-Chir_dent'!B19="","",'3-Chir_dent'!B19)</f>
        <v/>
      </c>
      <c r="E300" t="str">
        <f>IF('3-Chir_dent'!C19="","",'3-Chir_dent'!C19)</f>
        <v/>
      </c>
      <c r="F300" t="str">
        <f>IF('3-Chir_dent'!D19="","",'3-Chir_dent'!D19)</f>
        <v/>
      </c>
      <c r="G300" t="str">
        <f>IF('3-Chir_dent'!E19="","",'3-Chir_dent'!E19)</f>
        <v/>
      </c>
      <c r="H300" t="str">
        <f>IF('3-Chir_dent'!F19="","",'3-Chir_dent'!F19)</f>
        <v/>
      </c>
      <c r="I300">
        <f>IF('3-Chir_dent'!G19="","",'3-Chir_dent'!G19)</f>
        <v>6540</v>
      </c>
      <c r="J300">
        <v>3</v>
      </c>
      <c r="K300" t="str">
        <f>IF('3-Chir_dent'!I19="","",'3-Chir_dent'!I19)</f>
        <v>TOTAL CARCDSF</v>
      </c>
      <c r="L300" t="str">
        <f>IF('3-Chir_dent'!J19="","",'3-Chir_dent'!J19)</f>
        <v/>
      </c>
      <c r="M300" t="str">
        <f>IF('3-Chir_dent'!K19="","",'3-Chir_dent'!K19)</f>
        <v/>
      </c>
      <c r="N300" t="str">
        <f>IF('3-Chir_dent'!L19="","",'3-Chir_dent'!L19)</f>
        <v/>
      </c>
      <c r="O300" t="str">
        <f>IF('3-Chir_dent'!M19="","",'3-Chir_dent'!M19)</f>
        <v/>
      </c>
      <c r="P300" t="str">
        <f>IF('3-Chir_dent'!N19="","",'3-Chir_dent'!N19)</f>
        <v/>
      </c>
      <c r="Q300">
        <f>IF('3-Chir_dent'!O19="","",'3-Chir_dent'!O19)</f>
        <v>6540</v>
      </c>
    </row>
    <row r="301" spans="1:18" ht="15">
      <c r="A301">
        <v>4</v>
      </c>
      <c r="B301" t="s">
        <v>109</v>
      </c>
      <c r="C301" s="67" t="str">
        <f>""</f>
        <v/>
      </c>
      <c r="D301" s="67" t="str">
        <f>""</f>
        <v/>
      </c>
      <c r="E301" s="67" t="str">
        <f>""</f>
        <v/>
      </c>
      <c r="F301" s="67" t="str">
        <f>""</f>
        <v/>
      </c>
      <c r="G301" s="67" t="str">
        <f>""</f>
        <v/>
      </c>
      <c r="H301" s="67" t="str">
        <f>""</f>
        <v/>
      </c>
      <c r="I301" s="67" t="str">
        <f>""</f>
        <v/>
      </c>
      <c r="J301">
        <v>4</v>
      </c>
      <c r="K301" s="67" t="str">
        <f>""</f>
        <v/>
      </c>
      <c r="L301" s="67" t="str">
        <f>""</f>
        <v/>
      </c>
      <c r="M301" s="67" t="str">
        <f>""</f>
        <v/>
      </c>
      <c r="N301" s="67" t="str">
        <f>""</f>
        <v/>
      </c>
      <c r="O301" s="67" t="str">
        <f>""</f>
        <v/>
      </c>
      <c r="P301" s="67" t="str">
        <f>""</f>
        <v/>
      </c>
      <c r="Q301" s="67" t="str">
        <f>""</f>
        <v/>
      </c>
    </row>
    <row r="302" spans="1:18" ht="15">
      <c r="A302">
        <v>5</v>
      </c>
      <c r="B302" t="s">
        <v>110</v>
      </c>
      <c r="C302" s="67" t="str">
        <f>""</f>
        <v/>
      </c>
      <c r="D302" s="67" t="str">
        <f>""</f>
        <v/>
      </c>
      <c r="E302" s="67" t="str">
        <f>""</f>
        <v/>
      </c>
      <c r="F302" s="67" t="str">
        <f>""</f>
        <v/>
      </c>
      <c r="G302" s="67" t="str">
        <f>""</f>
        <v/>
      </c>
      <c r="H302" s="67" t="str">
        <f>""</f>
        <v/>
      </c>
      <c r="I302" s="67" t="str">
        <f>""</f>
        <v/>
      </c>
      <c r="J302">
        <v>5</v>
      </c>
      <c r="K302" s="67" t="str">
        <f>""</f>
        <v/>
      </c>
      <c r="L302" s="67" t="str">
        <f>""</f>
        <v/>
      </c>
      <c r="M302" s="67" t="str">
        <f>""</f>
        <v/>
      </c>
      <c r="N302" s="67" t="str">
        <f>""</f>
        <v/>
      </c>
      <c r="O302" s="67" t="str">
        <f>""</f>
        <v/>
      </c>
      <c r="P302" s="67" t="str">
        <f>""</f>
        <v/>
      </c>
      <c r="Q302" s="67" t="str">
        <f>""</f>
        <v/>
      </c>
    </row>
    <row r="303" spans="1:18" ht="15">
      <c r="A303">
        <v>6</v>
      </c>
      <c r="B303" t="s">
        <v>111</v>
      </c>
      <c r="C303" t="str">
        <f>IF('6-MédS1'!A19="","",'6-MédS1'!A19)</f>
        <v/>
      </c>
      <c r="D303" t="str">
        <f>IF('6-MédS1'!B19="","",'6-MédS1'!B19)</f>
        <v/>
      </c>
      <c r="E303" t="str">
        <f>IF('6-MédS1'!C19="","",'6-MédS1'!C19)</f>
        <v/>
      </c>
      <c r="F303" t="str">
        <f>IF('6-MédS1'!D19="","",'6-MédS1'!D19)</f>
        <v/>
      </c>
      <c r="G303" t="str">
        <f>IF('6-MédS1'!E19="","",'6-MédS1'!E19)</f>
        <v/>
      </c>
      <c r="H303" t="str">
        <f>IF('6-MédS1'!F19="","",'6-MédS1'!F19)</f>
        <v/>
      </c>
      <c r="I303" t="str">
        <f>IF('6-MédS1'!G19="","",'6-MédS1'!G19)</f>
        <v/>
      </c>
      <c r="J303">
        <v>6</v>
      </c>
      <c r="K303" t="str">
        <f>IF('6-MédS1'!I19="","",'6-MédS1'!I19)</f>
        <v/>
      </c>
      <c r="L303" t="str">
        <f>IF('6-MédS1'!J19="","",'6-MédS1'!J19)</f>
        <v/>
      </c>
      <c r="M303" t="str">
        <f>IF('6-MédS1'!K19="","",'6-MédS1'!K19)</f>
        <v/>
      </c>
      <c r="N303" t="str">
        <f>IF('6-MédS1'!L19="","",'6-MédS1'!L19)</f>
        <v/>
      </c>
      <c r="O303" t="str">
        <f>IF('6-MédS1'!M19="","",'6-MédS1'!M19)</f>
        <v/>
      </c>
      <c r="P303" t="str">
        <f>IF('6-MédS1'!N19="","",'6-MédS1'!N19)</f>
        <v/>
      </c>
      <c r="Q303" t="str">
        <f>IF('6-MédS1'!O19="","",'6-MédS1'!O19)</f>
        <v/>
      </c>
    </row>
    <row r="304" spans="1:18" ht="15">
      <c r="A304">
        <v>7</v>
      </c>
      <c r="B304" t="s">
        <v>112</v>
      </c>
      <c r="C304" t="str">
        <f>IF('7-MédS2'!A19="","",'7-MédS2'!A19)</f>
        <v/>
      </c>
      <c r="D304" t="str">
        <f>IF('7-MédS2'!B19="","",'7-MédS2'!B19)</f>
        <v/>
      </c>
      <c r="E304" t="str">
        <f>IF('7-MédS2'!C19="","",'7-MédS2'!C19)</f>
        <v/>
      </c>
      <c r="F304" t="str">
        <f>IF('7-MédS2'!D19="","",'7-MédS2'!D19)</f>
        <v/>
      </c>
      <c r="G304" t="str">
        <f>IF('7-MédS2'!E19="","",'7-MédS2'!E19)</f>
        <v/>
      </c>
      <c r="H304" t="str">
        <f>IF('7-MédS2'!F19="","",'7-MédS2'!F19)</f>
        <v/>
      </c>
      <c r="I304" t="str">
        <f>IF('7-MédS2'!G19="","",'7-MédS2'!G19)</f>
        <v/>
      </c>
      <c r="J304">
        <v>7</v>
      </c>
      <c r="K304" t="str">
        <f>IF('7-MédS2'!I19="","",'7-MédS2'!I19)</f>
        <v/>
      </c>
      <c r="L304" t="str">
        <f>IF('7-MédS2'!J19="","",'7-MédS2'!J19)</f>
        <v/>
      </c>
      <c r="M304" t="str">
        <f>IF('7-MédS2'!K19="","",'7-MédS2'!K19)</f>
        <v/>
      </c>
      <c r="N304" t="str">
        <f>IF('7-MédS2'!L19="","",'7-MédS2'!L19)</f>
        <v/>
      </c>
      <c r="O304" t="str">
        <f>IF('7-MédS2'!M19="","",'7-MédS2'!M19)</f>
        <v/>
      </c>
      <c r="P304" t="str">
        <f>IF('7-MédS2'!N19="","",'7-MédS2'!N19)</f>
        <v/>
      </c>
      <c r="Q304" t="str">
        <f>IF('7-MédS2'!O19="","",'7-MédS2'!O19)</f>
        <v/>
      </c>
    </row>
    <row r="305" spans="1:18" ht="15">
      <c r="A305">
        <v>8</v>
      </c>
      <c r="B305" t="s">
        <v>113</v>
      </c>
      <c r="C305" t="str">
        <f>IF('8-PAM'!A19="","",'8-PAM'!A19)</f>
        <v>TOTAL CARPIMKO</v>
      </c>
      <c r="D305" t="str">
        <f>IF('8-PAM'!B19="","",'8-PAM'!B19)</f>
        <v/>
      </c>
      <c r="E305" t="str">
        <f>IF('8-PAM'!C19="","",'8-PAM'!C19)</f>
        <v/>
      </c>
      <c r="F305" t="str">
        <f>IF('8-PAM'!D19="","",'8-PAM'!D19)</f>
        <v/>
      </c>
      <c r="G305" t="str">
        <f>IF('8-PAM'!E19="","",'8-PAM'!E19)</f>
        <v/>
      </c>
      <c r="H305" t="str">
        <f>IF('8-PAM'!F19="","",'8-PAM'!F19)</f>
        <v/>
      </c>
      <c r="I305">
        <f>IF('8-PAM'!G19="","",'8-PAM'!G19)</f>
        <v>3546</v>
      </c>
      <c r="J305">
        <v>8</v>
      </c>
      <c r="K305" t="str">
        <f>IF('8-PAM'!I19="","",'8-PAM'!I19)</f>
        <v>TOTAL CARPIMKO</v>
      </c>
      <c r="L305" t="str">
        <f>IF('8-PAM'!J19="","",'8-PAM'!J19)</f>
        <v/>
      </c>
      <c r="M305" t="str">
        <f>IF('8-PAM'!K19="","",'8-PAM'!K19)</f>
        <v/>
      </c>
      <c r="N305" t="str">
        <f>IF('8-PAM'!L19="","",'8-PAM'!L19)</f>
        <v/>
      </c>
      <c r="O305" t="str">
        <f>IF('8-PAM'!M19="","",'8-PAM'!M19)</f>
        <v/>
      </c>
      <c r="P305" t="str">
        <f>IF('8-PAM'!N19="","",'8-PAM'!N19)</f>
        <v/>
      </c>
      <c r="Q305">
        <f>IF('8-PAM'!O19="","",'8-PAM'!O19)</f>
        <v>3546</v>
      </c>
    </row>
    <row r="306" spans="1:18" ht="15">
      <c r="A306">
        <v>9</v>
      </c>
      <c r="B306" t="s">
        <v>114</v>
      </c>
      <c r="C306" s="67" t="str">
        <f>""</f>
        <v/>
      </c>
      <c r="D306" s="67" t="str">
        <f>""</f>
        <v/>
      </c>
      <c r="E306" s="67" t="str">
        <f>""</f>
        <v/>
      </c>
      <c r="F306" s="67" t="str">
        <f>""</f>
        <v/>
      </c>
      <c r="G306" s="67" t="str">
        <f>""</f>
        <v/>
      </c>
      <c r="H306" s="67" t="str">
        <f>""</f>
        <v/>
      </c>
      <c r="I306" s="67" t="str">
        <f>""</f>
        <v/>
      </c>
      <c r="J306">
        <v>9</v>
      </c>
      <c r="K306" s="67" t="str">
        <f>""</f>
        <v/>
      </c>
      <c r="L306" s="67" t="str">
        <f>""</f>
        <v/>
      </c>
      <c r="M306" s="67" t="str">
        <f>""</f>
        <v/>
      </c>
      <c r="N306" s="67" t="str">
        <f>""</f>
        <v/>
      </c>
      <c r="O306" s="67" t="str">
        <f>""</f>
        <v/>
      </c>
      <c r="P306" s="67" t="str">
        <f>""</f>
        <v/>
      </c>
      <c r="Q306" s="67" t="str">
        <f>""</f>
        <v/>
      </c>
    </row>
    <row r="307" spans="1:18" ht="15">
      <c r="A307">
        <v>10</v>
      </c>
      <c r="B307" t="s">
        <v>115</v>
      </c>
      <c r="C307" s="67" t="str">
        <f>""</f>
        <v/>
      </c>
      <c r="D307" s="67" t="str">
        <f>""</f>
        <v/>
      </c>
      <c r="E307" s="67" t="str">
        <f>""</f>
        <v/>
      </c>
      <c r="F307" s="67" t="str">
        <f>""</f>
        <v/>
      </c>
      <c r="G307" s="67" t="str">
        <f>""</f>
        <v/>
      </c>
      <c r="H307" s="67" t="str">
        <f>""</f>
        <v/>
      </c>
      <c r="I307" s="67" t="str">
        <f>""</f>
        <v/>
      </c>
      <c r="J307">
        <v>10</v>
      </c>
      <c r="K307" s="67" t="str">
        <f>""</f>
        <v/>
      </c>
      <c r="L307" s="67" t="str">
        <f>""</f>
        <v/>
      </c>
      <c r="M307" s="67" t="str">
        <f>""</f>
        <v/>
      </c>
      <c r="N307" s="67" t="str">
        <f>""</f>
        <v/>
      </c>
      <c r="O307" s="67" t="str">
        <f>""</f>
        <v/>
      </c>
      <c r="P307" s="67" t="str">
        <f>""</f>
        <v/>
      </c>
      <c r="Q307" s="67" t="str">
        <f>""</f>
        <v/>
      </c>
    </row>
    <row r="308" spans="1:18" ht="15">
      <c r="A308">
        <v>11</v>
      </c>
      <c r="B308" t="s">
        <v>116</v>
      </c>
      <c r="C308" t="str">
        <f>IF('11-SF'!A19="","",'11-SF'!A19)</f>
        <v/>
      </c>
      <c r="D308" t="str">
        <f>IF('11-SF'!B19="","",'11-SF'!B19)</f>
        <v/>
      </c>
      <c r="E308" t="str">
        <f>IF('11-SF'!C19="","",'11-SF'!C19)</f>
        <v/>
      </c>
      <c r="F308" t="str">
        <f>IF('11-SF'!D19="","",'11-SF'!D19)</f>
        <v/>
      </c>
      <c r="G308" t="str">
        <f>IF('11-SF'!E19="","",'11-SF'!E19)</f>
        <v/>
      </c>
      <c r="H308" t="str">
        <f>IF('11-SF'!F19="","",'11-SF'!F19)</f>
        <v/>
      </c>
      <c r="I308" t="str">
        <f>IF('11-SF'!G19="","",'11-SF'!G19)</f>
        <v/>
      </c>
      <c r="J308">
        <v>11</v>
      </c>
      <c r="K308" t="str">
        <f>IF('11-SF'!I19="","",'11-SF'!I19)</f>
        <v/>
      </c>
      <c r="L308" t="str">
        <f>IF('11-SF'!J19="","",'11-SF'!J19)</f>
        <v/>
      </c>
      <c r="M308" t="str">
        <f>IF('11-SF'!K19="","",'11-SF'!K19)</f>
        <v/>
      </c>
      <c r="N308" t="str">
        <f>IF('11-SF'!L19="","",'11-SF'!L19)</f>
        <v/>
      </c>
      <c r="O308" t="str">
        <f>IF('11-SF'!M19="","",'11-SF'!M19)</f>
        <v/>
      </c>
      <c r="P308" t="str">
        <f>IF('11-SF'!N19="","",'11-SF'!N19)</f>
        <v/>
      </c>
      <c r="Q308" t="str">
        <f>IF('11-SF'!O19="","",'11-SF'!O19)</f>
        <v/>
      </c>
    </row>
    <row r="309" spans="1:18" ht="15">
      <c r="A309">
        <v>12</v>
      </c>
      <c r="B309" t="s">
        <v>117</v>
      </c>
      <c r="C309" s="67" t="str">
        <f>""</f>
        <v/>
      </c>
      <c r="D309" s="67" t="str">
        <f>""</f>
        <v/>
      </c>
      <c r="E309" s="67" t="str">
        <f>""</f>
        <v/>
      </c>
      <c r="F309" s="67" t="str">
        <f>""</f>
        <v/>
      </c>
      <c r="G309" s="67" t="str">
        <f>""</f>
        <v/>
      </c>
      <c r="H309" s="67" t="str">
        <f>""</f>
        <v/>
      </c>
      <c r="I309" s="67" t="str">
        <f>""</f>
        <v/>
      </c>
      <c r="J309">
        <v>12</v>
      </c>
      <c r="K309" s="67" t="str">
        <f>""</f>
        <v/>
      </c>
      <c r="L309" s="67" t="str">
        <f>""</f>
        <v/>
      </c>
      <c r="M309" s="67" t="str">
        <f>""</f>
        <v/>
      </c>
      <c r="N309" s="67" t="str">
        <f>""</f>
        <v/>
      </c>
      <c r="O309" s="67" t="str">
        <f>""</f>
        <v/>
      </c>
      <c r="P309" s="67" t="str">
        <f>""</f>
        <v/>
      </c>
      <c r="Q309" s="67" t="str">
        <f>""</f>
        <v/>
      </c>
    </row>
    <row r="310" spans="1:18" ht="15">
      <c r="A310">
        <v>13</v>
      </c>
      <c r="B310" t="s">
        <v>168</v>
      </c>
      <c r="C310" s="67" t="str">
        <f>""</f>
        <v/>
      </c>
      <c r="D310" s="67" t="str">
        <f>""</f>
        <v/>
      </c>
      <c r="E310" s="67" t="str">
        <f>""</f>
        <v/>
      </c>
      <c r="F310" s="67" t="str">
        <f>""</f>
        <v/>
      </c>
      <c r="G310" s="67" t="str">
        <f>""</f>
        <v/>
      </c>
      <c r="H310" s="67" t="str">
        <f>""</f>
        <v/>
      </c>
      <c r="I310" s="67" t="str">
        <f>""</f>
        <v/>
      </c>
      <c r="J310" s="67">
        <v>13</v>
      </c>
      <c r="K310" s="67" t="str">
        <f>""</f>
        <v/>
      </c>
      <c r="L310" s="67" t="str">
        <f>""</f>
        <v/>
      </c>
      <c r="M310" s="67" t="str">
        <f>""</f>
        <v/>
      </c>
      <c r="N310" s="67" t="str">
        <f>""</f>
        <v/>
      </c>
      <c r="O310" s="67" t="str">
        <f>""</f>
        <v/>
      </c>
      <c r="P310" s="67" t="str">
        <f>""</f>
        <v/>
      </c>
      <c r="Q310" s="67" t="str">
        <f>""</f>
        <v/>
      </c>
    </row>
    <row r="311" spans="1:18" ht="15">
      <c r="A311">
        <v>14</v>
      </c>
      <c r="B311" t="s">
        <v>169</v>
      </c>
      <c r="C311" s="67" t="str">
        <f>""</f>
        <v/>
      </c>
      <c r="D311" s="67" t="str">
        <f>""</f>
        <v/>
      </c>
      <c r="E311" s="67" t="str">
        <f>""</f>
        <v/>
      </c>
      <c r="F311" s="67" t="str">
        <f>""</f>
        <v/>
      </c>
      <c r="G311" s="67" t="str">
        <f>""</f>
        <v/>
      </c>
      <c r="H311" s="67" t="str">
        <f>""</f>
        <v/>
      </c>
      <c r="I311" s="67" t="str">
        <f>""</f>
        <v/>
      </c>
      <c r="J311">
        <v>14</v>
      </c>
      <c r="K311" s="67" t="str">
        <f>""</f>
        <v/>
      </c>
      <c r="L311" s="67" t="str">
        <f>""</f>
        <v/>
      </c>
      <c r="M311" s="67" t="str">
        <f>""</f>
        <v/>
      </c>
      <c r="N311" s="67" t="str">
        <f>""</f>
        <v/>
      </c>
      <c r="O311" s="67" t="str">
        <f>""</f>
        <v/>
      </c>
      <c r="P311" s="67" t="str">
        <f>""</f>
        <v/>
      </c>
      <c r="Q311" s="67" t="str">
        <f>""</f>
        <v/>
      </c>
    </row>
    <row r="312" spans="1:18" ht="15">
      <c r="A312">
        <v>15</v>
      </c>
      <c r="B312" t="s">
        <v>203</v>
      </c>
      <c r="C312" s="67" t="str">
        <f>IF('15-PODO'!A19="","",'15-PODO'!A19)</f>
        <v/>
      </c>
      <c r="D312" s="67" t="str">
        <f>IF('15-PODO'!B19="","",'15-PODO'!B19)</f>
        <v/>
      </c>
      <c r="E312" s="67" t="str">
        <f>IF('15-PODO'!C19="","",'15-PODO'!C19)</f>
        <v/>
      </c>
      <c r="F312" s="67" t="str">
        <f>IF('15-PODO'!D19="","",'15-PODO'!D19)</f>
        <v/>
      </c>
      <c r="G312" s="67" t="str">
        <f>IF('15-PODO'!E19="","",'15-PODO'!E19)</f>
        <v/>
      </c>
      <c r="H312" s="67" t="str">
        <f>IF('15-PODO'!F19="","",'15-PODO'!F19)</f>
        <v/>
      </c>
      <c r="I312" s="67" t="str">
        <f>IF('15-PODO'!G19="","",'15-PODO'!G19)</f>
        <v/>
      </c>
      <c r="J312" s="67">
        <v>15</v>
      </c>
      <c r="K312" s="67" t="str">
        <f>IF('15-PODO'!I19="","",'15-PODO'!I19)</f>
        <v/>
      </c>
      <c r="L312" s="67" t="str">
        <f>IF('15-PODO'!J19="","",'15-PODO'!J19)</f>
        <v/>
      </c>
      <c r="M312" s="67" t="str">
        <f>IF('15-PODO'!K19="","",'15-PODO'!K19)</f>
        <v/>
      </c>
      <c r="N312" s="67" t="str">
        <f>IF('15-PODO'!L19="","",'15-PODO'!L19)</f>
        <v/>
      </c>
      <c r="O312" s="67" t="str">
        <f>IF('15-PODO'!M19="","",'15-PODO'!M19)</f>
        <v/>
      </c>
      <c r="P312" s="67" t="str">
        <f>IF('15-PODO'!N19="","",'15-PODO'!N19)</f>
        <v/>
      </c>
      <c r="Q312" s="67" t="str">
        <f>IF('15-PODO'!O19="","",'15-PODO'!O19)</f>
        <v/>
      </c>
    </row>
    <row r="313" spans="1:18">
      <c r="B313" s="18" t="str">
        <f>B297</f>
        <v>LIGNE 16 : A19</v>
      </c>
      <c r="C313" s="18" t="e">
        <f>VLOOKUP($A$45,$A$298:$I$312,3,FALSE)</f>
        <v>#N/A</v>
      </c>
      <c r="D313" s="64" t="e">
        <f>VLOOKUP($A$27,$A$298:$I$312,4,FALSE)</f>
        <v>#N/A</v>
      </c>
      <c r="E313" s="46" t="e">
        <f>VLOOKUP($A$27,$A$298:$I$312,5,FALSE)</f>
        <v>#N/A</v>
      </c>
      <c r="F313" s="65" t="e">
        <f>VLOOKUP($A$27,$A$298:$I$312,6,FALSE)</f>
        <v>#N/A</v>
      </c>
      <c r="G313" s="46" t="e">
        <f>VLOOKUP($A$27,$A$298:$I$312,7,FALSE)</f>
        <v>#N/A</v>
      </c>
      <c r="H313" s="65" t="e">
        <f>VLOOKUP($A$27,$A$298:$I$312,8,FALSE)</f>
        <v>#N/A</v>
      </c>
      <c r="I313" s="65" t="e">
        <f>VLOOKUP($A$27,$A$298:$I$312,9,FALSE)</f>
        <v>#N/A</v>
      </c>
      <c r="J313" s="66" t="e">
        <f>IF(LEFT(C313,5)="TOTAL",1,0)</f>
        <v>#N/A</v>
      </c>
      <c r="K313" s="18" t="e">
        <f>VLOOKUP($A$27,$J$298:$Q$312,2,FALSE)</f>
        <v>#N/A</v>
      </c>
      <c r="L313" s="18" t="e">
        <f>VLOOKUP($A$27,$J$298:$Q$312,3,FALSE)</f>
        <v>#N/A</v>
      </c>
      <c r="M313" s="18" t="e">
        <f>VLOOKUP($A$27,$J$298:$Q$312,4,FALSE)</f>
        <v>#N/A</v>
      </c>
      <c r="N313" s="18" t="e">
        <f>VLOOKUP($A$27,$J$298:$Q$312,5,FALSE)</f>
        <v>#N/A</v>
      </c>
      <c r="O313" s="18" t="e">
        <f>VLOOKUP($A$27,$J$298:$Q$312,6,FALSE)</f>
        <v>#N/A</v>
      </c>
      <c r="P313" s="18" t="e">
        <f>VLOOKUP($A$27,$J$298:$Q$312,7,FALSE)</f>
        <v>#N/A</v>
      </c>
      <c r="Q313" s="18" t="e">
        <f>VLOOKUP($A$27,$J$298:$Q$312,8,FALSE)</f>
        <v>#N/A</v>
      </c>
      <c r="R313" s="66" t="e">
        <f>IF(LEFT(K313,5)="TOTAL",1,0)</f>
        <v>#N/A</v>
      </c>
    </row>
    <row r="314" spans="1:18">
      <c r="A314">
        <f>A297</f>
        <v>0</v>
      </c>
      <c r="C314" t="s">
        <v>59</v>
      </c>
      <c r="K314" t="s">
        <v>59</v>
      </c>
    </row>
    <row r="315" spans="1:18" ht="15">
      <c r="A315">
        <v>1</v>
      </c>
      <c r="B315" t="s">
        <v>106</v>
      </c>
      <c r="C315">
        <f>'1-ARTISAN'!G15</f>
        <v>1158</v>
      </c>
      <c r="J315">
        <v>1</v>
      </c>
      <c r="K315">
        <f>'1-ARTISAN'!O15</f>
        <v>1158</v>
      </c>
    </row>
    <row r="316" spans="1:18" ht="15">
      <c r="A316">
        <v>2</v>
      </c>
      <c r="B316" t="s">
        <v>107</v>
      </c>
      <c r="C316">
        <f>'2-ARTISTES'!G12</f>
        <v>0</v>
      </c>
      <c r="J316">
        <v>2</v>
      </c>
      <c r="K316">
        <f>'2-ARTISTES'!O12</f>
        <v>0</v>
      </c>
    </row>
    <row r="317" spans="1:18" ht="15">
      <c r="A317">
        <v>3</v>
      </c>
      <c r="B317" t="s">
        <v>108</v>
      </c>
      <c r="C317">
        <f>'3-Chir_dent'!G21</f>
        <v>6712</v>
      </c>
      <c r="J317">
        <v>3</v>
      </c>
      <c r="K317" t="e">
        <f>'3-Chir_dent'!O21</f>
        <v>#DIV/0!</v>
      </c>
    </row>
    <row r="318" spans="1:18" ht="15">
      <c r="A318">
        <v>4</v>
      </c>
      <c r="B318" t="s">
        <v>109</v>
      </c>
      <c r="C318">
        <f>'4-COMMERCANT'!G15</f>
        <v>1140</v>
      </c>
      <c r="J318">
        <v>4</v>
      </c>
      <c r="K318">
        <f>'4-COMMERCANT'!O15</f>
        <v>1140</v>
      </c>
    </row>
    <row r="319" spans="1:18" ht="15">
      <c r="A319">
        <v>5</v>
      </c>
      <c r="B319" t="s">
        <v>110</v>
      </c>
      <c r="C319">
        <f>'5-EC_CAC'!G16</f>
        <v>1749</v>
      </c>
      <c r="J319">
        <v>5</v>
      </c>
      <c r="K319">
        <f>'5-EC_CAC'!O16</f>
        <v>1749</v>
      </c>
    </row>
    <row r="320" spans="1:18" ht="15">
      <c r="A320">
        <v>6</v>
      </c>
      <c r="B320" t="s">
        <v>111</v>
      </c>
      <c r="C320" t="e">
        <f>'6-MédS1'!G20</f>
        <v>#DIV/0!</v>
      </c>
      <c r="J320">
        <v>6</v>
      </c>
      <c r="K320" t="e">
        <f>'6-MédS1'!O20</f>
        <v>#DIV/0!</v>
      </c>
    </row>
    <row r="321" spans="1:11" ht="15">
      <c r="A321">
        <v>7</v>
      </c>
      <c r="B321" t="s">
        <v>112</v>
      </c>
      <c r="C321">
        <f>'7-MédS2'!G20</f>
        <v>6753</v>
      </c>
      <c r="J321">
        <v>7</v>
      </c>
      <c r="K321">
        <f>'7-MédS2'!O20</f>
        <v>6753</v>
      </c>
    </row>
    <row r="322" spans="1:11" ht="15">
      <c r="A322">
        <v>8</v>
      </c>
      <c r="B322" t="s">
        <v>113</v>
      </c>
      <c r="C322">
        <f>'8-PAM'!G21</f>
        <v>3718</v>
      </c>
      <c r="J322">
        <v>8</v>
      </c>
      <c r="K322">
        <f>'8-PAM'!O21</f>
        <v>3718</v>
      </c>
    </row>
    <row r="323" spans="1:11" ht="15">
      <c r="A323">
        <v>9</v>
      </c>
      <c r="B323" t="s">
        <v>114</v>
      </c>
      <c r="C323">
        <f>'9-CIPAV'!G17</f>
        <v>787</v>
      </c>
      <c r="J323">
        <v>9</v>
      </c>
      <c r="K323">
        <f>'9-CIPAV'!O17</f>
        <v>787</v>
      </c>
    </row>
    <row r="324" spans="1:11" ht="15">
      <c r="A324">
        <v>10</v>
      </c>
      <c r="B324" t="s">
        <v>115</v>
      </c>
      <c r="C324">
        <f>'10-BNC-SSI'!G14</f>
        <v>1140</v>
      </c>
      <c r="J324">
        <v>10</v>
      </c>
      <c r="K324">
        <f>'10-BNC-SSI'!O14</f>
        <v>1140</v>
      </c>
    </row>
    <row r="325" spans="1:11" ht="15">
      <c r="A325">
        <v>11</v>
      </c>
      <c r="B325" t="s">
        <v>116</v>
      </c>
      <c r="C325">
        <f>'11-SF'!G20</f>
        <v>4420</v>
      </c>
      <c r="J325">
        <v>11</v>
      </c>
      <c r="K325">
        <f>'11-SF'!O20</f>
        <v>4420</v>
      </c>
    </row>
    <row r="326" spans="1:11" ht="15">
      <c r="A326">
        <v>12</v>
      </c>
      <c r="B326" t="s">
        <v>117</v>
      </c>
      <c r="C326">
        <f>'12-VETO'!G16</f>
        <v>2232</v>
      </c>
      <c r="J326">
        <v>12</v>
      </c>
      <c r="K326">
        <f>'12-VETO'!O16</f>
        <v>2232</v>
      </c>
    </row>
    <row r="327" spans="1:11" ht="15">
      <c r="A327">
        <v>13</v>
      </c>
      <c r="B327" t="s">
        <v>168</v>
      </c>
      <c r="C327">
        <f>'13-AGENT D''ASS'!G14</f>
        <v>701</v>
      </c>
      <c r="J327">
        <v>13</v>
      </c>
      <c r="K327">
        <f>'13-AGENT D''ASS'!O14</f>
        <v>701</v>
      </c>
    </row>
    <row r="328" spans="1:11" ht="15">
      <c r="A328">
        <v>14</v>
      </c>
      <c r="B328" t="s">
        <v>169</v>
      </c>
      <c r="C328" t="e">
        <f>'14-Avocats'!G16</f>
        <v>#N/A</v>
      </c>
      <c r="J328">
        <v>14</v>
      </c>
      <c r="K328" t="e">
        <f>'14-Avocats'!O16</f>
        <v>#N/A</v>
      </c>
    </row>
    <row r="329" spans="1:11" ht="15">
      <c r="A329">
        <v>15</v>
      </c>
      <c r="B329" t="str">
        <f>Feuil3!B15</f>
        <v>BNC - PÉDICURE-PODOLOGUE ayant renoncé au régime des PAM</v>
      </c>
      <c r="C329">
        <f>'15-PODO'!G20</f>
        <v>4141</v>
      </c>
      <c r="J329">
        <v>15</v>
      </c>
      <c r="K329">
        <f>'15-PODO'!O20</f>
        <v>4141</v>
      </c>
    </row>
    <row r="330" spans="1:11">
      <c r="C330" s="69" t="e">
        <f>VLOOKUP($A$45,$A$315:$C$329,3,FALSE)</f>
        <v>#N/A</v>
      </c>
      <c r="K330" s="18" t="e">
        <f>VLOOKUP($A$27,$J$315:$K$329,2,FALSE)</f>
        <v>#N/A</v>
      </c>
    </row>
  </sheetData>
  <phoneticPr fontId="13" type="noConversion"/>
  <conditionalFormatting sqref="C223:I223">
    <cfRule type="expression" dxfId="5" priority="6">
      <formula>$J$223=1</formula>
    </cfRule>
  </conditionalFormatting>
  <conditionalFormatting sqref="C241:I241">
    <cfRule type="expression" dxfId="4" priority="5">
      <formula>$J$223=1</formula>
    </cfRule>
  </conditionalFormatting>
  <conditionalFormatting sqref="C259:I259">
    <cfRule type="expression" dxfId="3" priority="4">
      <formula>$J$223=1</formula>
    </cfRule>
  </conditionalFormatting>
  <conditionalFormatting sqref="C277:I277">
    <cfRule type="expression" dxfId="2" priority="3">
      <formula>$J$223=1</formula>
    </cfRule>
  </conditionalFormatting>
  <conditionalFormatting sqref="C295:I295">
    <cfRule type="expression" dxfId="1" priority="2">
      <formula>$J$223=1</formula>
    </cfRule>
  </conditionalFormatting>
  <conditionalFormatting sqref="C313:I313">
    <cfRule type="expression" dxfId="0" priority="1">
      <formula>$J$223=1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workbookViewId="0">
      <selection activeCell="A22" sqref="A22"/>
    </sheetView>
  </sheetViews>
  <sheetFormatPr baseColWidth="10" defaultRowHeight="15"/>
  <cols>
    <col min="3" max="3" width="39.5703125" customWidth="1"/>
    <col min="9" max="9" width="83.5703125" bestFit="1" customWidth="1"/>
  </cols>
  <sheetData>
    <row r="1" spans="1:13">
      <c r="A1">
        <f>'IMPACTS RIOGA'!I9</f>
        <v>0</v>
      </c>
      <c r="B1" t="s">
        <v>106</v>
      </c>
      <c r="D1">
        <f>IF($A$1=B1,1,0)</f>
        <v>0</v>
      </c>
      <c r="E1">
        <f>SUM(D1:D15)</f>
        <v>0</v>
      </c>
      <c r="I1" t="str">
        <f>'IMPACTS RIOGA'!D11</f>
        <v>Montant de la Réduction d'impôt appliquée</v>
      </c>
      <c r="J1" t="str">
        <f>IF('IMPACTS RIOGA'!O11="","",'IMPACTS RIOGA'!O11)</f>
        <v/>
      </c>
      <c r="K1">
        <f>IF($J$1="",0,IF(J1&gt;915,0,IF(J1&lt;1,0,1)))</f>
        <v>0</v>
      </c>
      <c r="L1">
        <f>IF($J$1="",0,IF(J1&gt;915,0,IF(K1=0,0,2)))</f>
        <v>0</v>
      </c>
      <c r="M1" t="str">
        <f>IF($J$1="","Rubrique à compléter",IF(J1&gt;915,"Plafond = 915 €",""))</f>
        <v>Rubrique à compléter</v>
      </c>
    </row>
    <row r="2" spans="1:13">
      <c r="B2" t="s">
        <v>107</v>
      </c>
      <c r="D2">
        <f>IF($A$1=B2,2,0)</f>
        <v>0</v>
      </c>
      <c r="I2" t="str">
        <f>'IMPACTS RIOGA'!D13</f>
        <v>Revenus soumis à cotisations sociales (APRÈS application de la Réduction d'impôt OGA)</v>
      </c>
      <c r="J2" s="88" t="str">
        <f>IF('IMPACTS RIOGA'!O13="","",'IMPACTS RIOGA'!O13)</f>
        <v/>
      </c>
      <c r="K2">
        <f>IF($J$2="",0,1)</f>
        <v>0</v>
      </c>
      <c r="L2">
        <f>IF($J$2="",0,IF(I22="",2,1))</f>
        <v>0</v>
      </c>
      <c r="M2" t="str">
        <f>IF($J$2="","Rubrique à compléter","")</f>
        <v>Rubrique à compléter</v>
      </c>
    </row>
    <row r="3" spans="1:13">
      <c r="B3" t="s">
        <v>108</v>
      </c>
      <c r="D3">
        <f>IF($A$1=B3,3,0)</f>
        <v>0</v>
      </c>
      <c r="G3">
        <v>3</v>
      </c>
      <c r="I3" t="str">
        <f>'IMPACTS RIOGA'!D15</f>
        <v>… Non concerné …</v>
      </c>
      <c r="J3" t="str">
        <f>IF('IMPACTS RIOGA'!O15="","",'IMPACTS RIOGA'!O15)</f>
        <v/>
      </c>
      <c r="K3">
        <f>IF(AND(Feuil3!$E$1=3,$J$3=""),0,IF(AND(Feuil3!$E$1=6,$J$3=""),0,IF(AND(Feuil3!$E$1=8,$J$3=""),0,IF(AND(Feuil3!$E$1=11,$J$3=""),0,1))))</f>
        <v>1</v>
      </c>
      <c r="L3">
        <f>IF(AND(Feuil3!$E$1=3,$J$3=""),0,IF(AND(Feuil3!$E$1=6,$J$3=""),0,IF(AND(Feuil3!$E$1=8,$J$3=""),0,IF(AND(Feuil3!$E$1=11,$J$3=""),0,2))))</f>
        <v>2</v>
      </c>
      <c r="M3" t="str">
        <f>IF(AND(Feuil3!$E$1=3,$J$3=""),"Rubrique à compléter",IF(AND(Feuil3!$E$1=6,$J$3=""),"Rubrique à compléter",IF(AND(Feuil3!$E$1=8,$J$3=""),"Rubrique à compléter",IF(AND(Feuil3!$E$1=11,$J$3=""),"Rubrique à compléter",""))))</f>
        <v/>
      </c>
    </row>
    <row r="4" spans="1:13">
      <c r="B4" t="s">
        <v>109</v>
      </c>
      <c r="D4">
        <f>IF($A$1=B4,4,0)</f>
        <v>0</v>
      </c>
      <c r="I4" t="str">
        <f>'IMPACTS RIOGA'!D17</f>
        <v>CSP Obligatoires</v>
      </c>
      <c r="J4" t="str">
        <f>IF('IMPACTS RIOGA'!O17="","",'IMPACTS RIOGA'!O17)</f>
        <v/>
      </c>
      <c r="K4">
        <f>IF($J$4="",0,1)</f>
        <v>0</v>
      </c>
      <c r="L4">
        <f>IF($J$4="",0,2)</f>
        <v>0</v>
      </c>
      <c r="M4" t="str">
        <f>IF($J$4="","Rubrique à compléter","")</f>
        <v>Rubrique à compléter</v>
      </c>
    </row>
    <row r="5" spans="1:13">
      <c r="B5" t="s">
        <v>110</v>
      </c>
      <c r="D5">
        <f>IF($A$1=B5,5,0)</f>
        <v>0</v>
      </c>
      <c r="I5" t="str">
        <f>'IMPACTS RIOGA'!D19</f>
        <v>… Non concerné …</v>
      </c>
      <c r="J5" t="str">
        <f>IF('IMPACTS RIOGA'!O19="","",'IMPACTS RIOGA'!O19)</f>
        <v/>
      </c>
      <c r="K5">
        <f>IF(AND($E$1=3,$J$5=""),0,1)</f>
        <v>1</v>
      </c>
      <c r="L5">
        <f>IF(AND($E$1=3,$J$5=""),0,2)</f>
        <v>2</v>
      </c>
      <c r="M5" t="str">
        <f>IF(AND($E$1=3,$J$5=""),"Rubrique à compléter","")</f>
        <v/>
      </c>
    </row>
    <row r="6" spans="1:13">
      <c r="B6" t="s">
        <v>111</v>
      </c>
      <c r="D6">
        <f>IF($A$1=B6,6,0)</f>
        <v>0</v>
      </c>
      <c r="G6">
        <v>6</v>
      </c>
      <c r="I6" t="str">
        <f>'IMPACTS RIOGA'!D21</f>
        <v>… Non concerné …</v>
      </c>
      <c r="J6" t="str">
        <f>IF('IMPACTS RIOGA'!O21="","",'IMPACTS RIOGA'!O21)</f>
        <v/>
      </c>
      <c r="K6">
        <f>IF(AND(Feuil3!$E$1=3,$J$6=""),0,IF(AND(Feuil3!$E$1=6,$J$6=""),0,IF(AND(Feuil3!$E$1=8,$J$6=""),0,IF(AND(Feuil3!$E$1=11,$J$6=""),0,1))))</f>
        <v>1</v>
      </c>
      <c r="L6">
        <f>IF(AND(Feuil3!$E$1=3,$J$6=""),0,IF(AND(Feuil3!$E$1=6,$J$6=""),0,IF(AND(Feuil3!$E$1=8,$J$6=""),0,IF(AND(Feuil3!$E$1=11,$J$6=""),0,2))))</f>
        <v>2</v>
      </c>
      <c r="M6" t="str">
        <f>IF(AND(Feuil3!$E$1=3,$J$6=""),"Rubrique à compléter",IF(AND(Feuil3!$E$1=6,$J$6=""),"Rubrique à compléter",IF(AND(Feuil3!$E$1=8,$J$6=""),"Rubrique à compléter",IF(AND(Feuil3!$E$1=11,$J$6=""),"Rubrique à compléter",""))))</f>
        <v/>
      </c>
    </row>
    <row r="7" spans="1:13">
      <c r="B7" t="s">
        <v>112</v>
      </c>
      <c r="D7">
        <f>IF($A$1=B7,7,0)</f>
        <v>0</v>
      </c>
      <c r="I7" t="str">
        <f>'IMPACTS RIOGA'!D23</f>
        <v xml:space="preserve">Taux marginal d'imposition à l'IR </v>
      </c>
      <c r="J7" t="str">
        <f>IF('IMPACTS RIOGA'!O23="","",'IMPACTS RIOGA'!O23)</f>
        <v/>
      </c>
      <c r="K7">
        <f>IF($J$7="",0,1)</f>
        <v>0</v>
      </c>
      <c r="L7">
        <f>IF($J$7="",0,IF(TAUX_marginal=0,1,2))</f>
        <v>0</v>
      </c>
      <c r="M7" t="str">
        <f>IF($J$7="","Rubrique à compléter",IF(TAUX_marginal=0,"RIOGA applicable ?",""))</f>
        <v>Rubrique à compléter</v>
      </c>
    </row>
    <row r="8" spans="1:13">
      <c r="B8" t="s">
        <v>113</v>
      </c>
      <c r="D8">
        <f>IF($A$1=B8,8,0)</f>
        <v>0</v>
      </c>
      <c r="G8">
        <v>8</v>
      </c>
      <c r="I8" t="s">
        <v>196</v>
      </c>
      <c r="J8" s="4" t="str">
        <f>IF('IMPACTS RIOGA'!G25="","",'IMPACTS RIOGA'!G25)</f>
        <v/>
      </c>
      <c r="K8">
        <f>IF(AND(CAS=14,J8&lt;&gt;""),1,IF(CAS&lt;&gt;14,1,0))</f>
        <v>1</v>
      </c>
      <c r="L8">
        <f>IF(K8=0,0,2)</f>
        <v>2</v>
      </c>
    </row>
    <row r="9" spans="1:13">
      <c r="B9" t="s">
        <v>114</v>
      </c>
      <c r="D9">
        <f>IF($A$1=B9,9,0)</f>
        <v>0</v>
      </c>
      <c r="I9" t="s">
        <v>197</v>
      </c>
      <c r="J9" s="4" t="str">
        <f>IF('IMPACTS RIOGA'!O25="","",'IMPACTS RIOGA'!O25)</f>
        <v/>
      </c>
      <c r="K9">
        <f>IF(AND(CAS=14,J9&lt;&gt;""),1,IF(CAS&lt;&gt;14,1,0))</f>
        <v>1</v>
      </c>
      <c r="L9">
        <f>IF(K9=0,0,2)</f>
        <v>2</v>
      </c>
    </row>
    <row r="10" spans="1:13">
      <c r="B10" t="s">
        <v>115</v>
      </c>
      <c r="D10">
        <f>IF($A$1=B10,10,0)</f>
        <v>0</v>
      </c>
      <c r="K10" s="7">
        <f>K1*K2*K3*K4*K5*K6*K7*K8*K9</f>
        <v>0</v>
      </c>
    </row>
    <row r="11" spans="1:13">
      <c r="B11" t="s">
        <v>116</v>
      </c>
      <c r="D11">
        <f>IF($A$1=B11,11,0)</f>
        <v>0</v>
      </c>
      <c r="G11">
        <v>11</v>
      </c>
    </row>
    <row r="12" spans="1:13">
      <c r="B12" t="s">
        <v>117</v>
      </c>
      <c r="D12">
        <f>IF($A$1=B12,12,0)</f>
        <v>0</v>
      </c>
    </row>
    <row r="13" spans="1:13">
      <c r="B13" t="s">
        <v>168</v>
      </c>
      <c r="D13">
        <f>IF($A$1=B13,13,0)</f>
        <v>0</v>
      </c>
    </row>
    <row r="14" spans="1:13">
      <c r="B14" t="s">
        <v>169</v>
      </c>
      <c r="D14">
        <f>IF($A$1=B14,14,0)</f>
        <v>0</v>
      </c>
      <c r="I14" t="s">
        <v>198</v>
      </c>
    </row>
    <row r="15" spans="1:13">
      <c r="B15" t="s">
        <v>203</v>
      </c>
      <c r="D15">
        <f>IF($A$1=B15,15,0)</f>
        <v>0</v>
      </c>
    </row>
    <row r="16" spans="1:13">
      <c r="A16" t="s">
        <v>121</v>
      </c>
      <c r="I16" t="s">
        <v>202</v>
      </c>
    </row>
    <row r="17" spans="1:9">
      <c r="I17" s="85" t="str">
        <f>IF(CAS=9,I14,IF(CAS=8,I16,""))</f>
        <v/>
      </c>
    </row>
    <row r="18" spans="1:9">
      <c r="A18" t="s">
        <v>205</v>
      </c>
    </row>
    <row r="19" spans="1:9">
      <c r="A19" t="s">
        <v>204</v>
      </c>
      <c r="I19" t="str">
        <f>IF(CAS=13,"NB : Pas de calcul effectué pour les cotisations retraite complémentaire et invalidité-décès, les cotisations CAVAMAC étant calculées sur la base des commissions et non du revenu TNS ",IF(CAS=7,"La cotisation additionnelle maladie ne tient pas compte des éventuels dépassements d'honoraires",""))</f>
        <v/>
      </c>
    </row>
    <row r="21" spans="1:9">
      <c r="A21" t="s">
        <v>206</v>
      </c>
    </row>
    <row r="22" spans="1:9">
      <c r="A22" t="s">
        <v>133</v>
      </c>
      <c r="I22" t="str">
        <f>IF(K2=0,"",IF(AND(J2&gt;150000,CAS=4),"Pour rappel, seuil de CA livraisons de biens = 188700 €",IF(AND(CAS&lt;&gt;4,J2&gt;50000),"Pour rappel, seuil CA Presta. De services : 77700 €","")))</f>
        <v/>
      </c>
    </row>
    <row r="24" spans="1:9">
      <c r="A24" t="s">
        <v>118</v>
      </c>
    </row>
    <row r="26" spans="1:9">
      <c r="A26" t="s">
        <v>119</v>
      </c>
    </row>
    <row r="27" spans="1:9">
      <c r="A27" t="str">
        <f>A22</f>
        <v>… Non concerné …</v>
      </c>
    </row>
    <row r="29" spans="1:9">
      <c r="A29" t="s">
        <v>120</v>
      </c>
    </row>
    <row r="30" spans="1:9">
      <c r="A30" t="str">
        <f>A22</f>
        <v>… Non concerné …</v>
      </c>
      <c r="G30" t="s">
        <v>124</v>
      </c>
    </row>
    <row r="31" spans="1:9">
      <c r="G31" t="s">
        <v>125</v>
      </c>
    </row>
    <row r="32" spans="1:9">
      <c r="A32" t="s">
        <v>123</v>
      </c>
      <c r="B32" s="4">
        <v>0</v>
      </c>
    </row>
    <row r="33" spans="2:2">
      <c r="B33" s="4">
        <v>0.11</v>
      </c>
    </row>
    <row r="34" spans="2:2">
      <c r="B34" s="4">
        <v>0.3</v>
      </c>
    </row>
    <row r="35" spans="2:2">
      <c r="B35" s="4">
        <v>0.41</v>
      </c>
    </row>
    <row r="36" spans="2:2">
      <c r="B36" s="4">
        <v>0.45</v>
      </c>
    </row>
  </sheetData>
  <sortState ref="B1:B12">
    <sortCondition ref="B1:B1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9"/>
  <sheetViews>
    <sheetView workbookViewId="0">
      <selection activeCell="E16" sqref="E16:F17"/>
    </sheetView>
  </sheetViews>
  <sheetFormatPr baseColWidth="10" defaultRowHeight="15"/>
  <cols>
    <col min="1" max="1" width="37.140625" bestFit="1" customWidth="1"/>
    <col min="2" max="2" width="12.85546875" bestFit="1" customWidth="1"/>
    <col min="4" max="4" width="11.85546875" bestFit="1" customWidth="1"/>
    <col min="6" max="7" width="11.85546875" bestFit="1" customWidth="1"/>
    <col min="8" max="8" width="3.28515625" customWidth="1"/>
    <col min="9" max="9" width="35.5703125" bestFit="1" customWidth="1"/>
    <col min="10" max="10" width="11.85546875" bestFit="1" customWidth="1"/>
  </cols>
  <sheetData>
    <row r="2" spans="1:15" s="35" customFormat="1" ht="20.100000000000001" customHeight="1">
      <c r="A2" s="125" t="s">
        <v>62</v>
      </c>
      <c r="B2" s="125"/>
      <c r="C2" s="125"/>
      <c r="D2" s="125"/>
      <c r="E2" s="125"/>
      <c r="F2" s="125"/>
      <c r="G2" s="125"/>
      <c r="I2" s="125" t="s">
        <v>63</v>
      </c>
      <c r="J2" s="125"/>
      <c r="K2" s="125"/>
      <c r="L2" s="125"/>
      <c r="M2" s="125"/>
      <c r="N2" s="125"/>
      <c r="O2" s="125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73</v>
      </c>
      <c r="B4" s="42">
        <f>'3-Chir_dent'!B4</f>
        <v>0</v>
      </c>
      <c r="C4" s="30">
        <f>'Chiffres '!E30</f>
        <v>0</v>
      </c>
      <c r="D4" s="36">
        <f t="shared" ref="D4:D14" si="0">ROUND(B4*C4,0)</f>
        <v>0</v>
      </c>
      <c r="E4" s="1"/>
      <c r="F4" s="36"/>
      <c r="G4" s="36">
        <f>D4-F4</f>
        <v>0</v>
      </c>
      <c r="I4" t="s">
        <v>73</v>
      </c>
      <c r="J4" s="42">
        <f>'3-Chir_dent'!J4</f>
        <v>0</v>
      </c>
      <c r="K4" s="30">
        <f>'Chiffres '!N30</f>
        <v>0</v>
      </c>
      <c r="L4" s="36">
        <f t="shared" ref="L4:L14" si="1">ROUND(J4*K4,0)</f>
        <v>0</v>
      </c>
      <c r="M4" s="1"/>
      <c r="N4" s="36"/>
      <c r="O4" s="36">
        <f>L4-N4</f>
        <v>0</v>
      </c>
    </row>
    <row r="5" spans="1:15">
      <c r="A5" t="s">
        <v>20</v>
      </c>
      <c r="B5" s="42">
        <f>'Chiffres '!C36</f>
        <v>18547</v>
      </c>
      <c r="C5" s="30">
        <f>'Chiffres '!D34</f>
        <v>3.0000000000000001E-3</v>
      </c>
      <c r="D5" s="36">
        <f t="shared" si="0"/>
        <v>56</v>
      </c>
      <c r="E5" s="1"/>
      <c r="F5" s="36"/>
      <c r="G5" s="36">
        <f>D5</f>
        <v>56</v>
      </c>
      <c r="I5" t="s">
        <v>20</v>
      </c>
      <c r="J5" s="42">
        <f>'Chiffres '!L36</f>
        <v>18547</v>
      </c>
      <c r="K5" s="30">
        <f>'Chiffres '!N36</f>
        <v>3.0000000000000001E-3</v>
      </c>
      <c r="L5" s="36">
        <f t="shared" si="1"/>
        <v>56</v>
      </c>
      <c r="M5" s="1"/>
      <c r="N5" s="36"/>
      <c r="O5" s="36">
        <f>L5</f>
        <v>56</v>
      </c>
    </row>
    <row r="6" spans="1:15">
      <c r="A6" t="s">
        <v>21</v>
      </c>
      <c r="B6" s="42">
        <f>'3-Chir_dent'!B7</f>
        <v>0</v>
      </c>
      <c r="C6" s="31">
        <f>'Chiffres '!E42</f>
        <v>0</v>
      </c>
      <c r="D6" s="36">
        <f t="shared" si="0"/>
        <v>0</v>
      </c>
      <c r="E6" s="1"/>
      <c r="F6" s="36"/>
      <c r="G6" s="36">
        <f>D6-F6</f>
        <v>0</v>
      </c>
      <c r="I6" t="s">
        <v>21</v>
      </c>
      <c r="J6" s="42">
        <f>'3-Chir_dent'!J7</f>
        <v>0</v>
      </c>
      <c r="K6" s="30">
        <f>'Chiffres '!N42</f>
        <v>0</v>
      </c>
      <c r="L6" s="36">
        <f t="shared" si="1"/>
        <v>0</v>
      </c>
      <c r="M6" s="1"/>
      <c r="N6" s="36"/>
      <c r="O6" s="36">
        <f>L6-N6</f>
        <v>0</v>
      </c>
    </row>
    <row r="7" spans="1:15">
      <c r="A7" t="s">
        <v>12</v>
      </c>
      <c r="B7" s="42">
        <f>PASS</f>
        <v>46368</v>
      </c>
      <c r="C7" s="30">
        <f>'Chiffres '!D45</f>
        <v>2.5000000000000001E-3</v>
      </c>
      <c r="D7" s="36">
        <f t="shared" si="0"/>
        <v>116</v>
      </c>
      <c r="E7" s="1"/>
      <c r="F7" s="36"/>
      <c r="G7" s="36">
        <f>D7</f>
        <v>116</v>
      </c>
      <c r="I7" t="s">
        <v>12</v>
      </c>
      <c r="J7" s="42">
        <f>PASS</f>
        <v>46368</v>
      </c>
      <c r="K7" s="30">
        <f>'Chiffres '!D45</f>
        <v>2.5000000000000001E-3</v>
      </c>
      <c r="L7" s="36">
        <f t="shared" si="1"/>
        <v>116</v>
      </c>
      <c r="M7" s="1"/>
      <c r="N7" s="36"/>
      <c r="O7" s="36">
        <f>L7</f>
        <v>116</v>
      </c>
    </row>
    <row r="8" spans="1:15">
      <c r="A8" t="str">
        <f>IF('Chiffres '!D8=TRUE,"URPS non due car Remplaçant","URPS")</f>
        <v>URPS</v>
      </c>
      <c r="B8" s="42">
        <f>IF('Chiffres '!D8="VRAI",0,IF(REVENU&lt;PASS+1,REVENU,PASS))</f>
        <v>0</v>
      </c>
      <c r="C8" s="30">
        <f>IF('Chiffres '!D8=TRUE,0%,0.1%)</f>
        <v>1E-3</v>
      </c>
      <c r="D8" s="36">
        <f t="shared" si="0"/>
        <v>0</v>
      </c>
      <c r="E8" s="1"/>
      <c r="F8" s="36"/>
      <c r="G8" s="36">
        <f>D8</f>
        <v>0</v>
      </c>
      <c r="I8" t="str">
        <f>IF('Chiffres '!D8=TRUE,"URPS non due car Remplaçant","URPS")</f>
        <v>URPS</v>
      </c>
      <c r="J8" s="42">
        <f>IF('Chiffres '!D8="VRAI",0,IF(REVENU_RIOGA&lt;PASS+1,REVENU_RIOGA,PASS))</f>
        <v>0</v>
      </c>
      <c r="K8" s="30">
        <f>IF('Chiffres '!D8=TRUE,0,0.1%)</f>
        <v>1E-3</v>
      </c>
      <c r="L8" s="36">
        <f t="shared" si="1"/>
        <v>0</v>
      </c>
      <c r="M8" s="1"/>
      <c r="N8" s="36"/>
      <c r="O8" s="36">
        <f>L8</f>
        <v>0</v>
      </c>
    </row>
    <row r="9" spans="1:15">
      <c r="A9" t="s">
        <v>11</v>
      </c>
      <c r="B9" s="42">
        <f>'3-Chir_dent'!B10</f>
        <v>0</v>
      </c>
      <c r="C9" s="30">
        <f>'Chiffres '!D43</f>
        <v>9.7000000000000003E-2</v>
      </c>
      <c r="D9" s="36">
        <f t="shared" si="0"/>
        <v>0</v>
      </c>
      <c r="E9" s="1"/>
      <c r="F9" s="36"/>
      <c r="G9" s="36">
        <f>D9</f>
        <v>0</v>
      </c>
      <c r="I9" t="s">
        <v>11</v>
      </c>
      <c r="J9" s="42">
        <f>'3-Chir_dent'!J10</f>
        <v>0</v>
      </c>
      <c r="K9" s="30">
        <f>'Chiffres '!D43</f>
        <v>9.7000000000000003E-2</v>
      </c>
      <c r="L9" s="36">
        <f t="shared" si="1"/>
        <v>0</v>
      </c>
      <c r="M9" s="1"/>
      <c r="N9" s="36"/>
      <c r="O9" s="36">
        <f>L9</f>
        <v>0</v>
      </c>
    </row>
    <row r="10" spans="1:15" ht="15" customHeight="1">
      <c r="A10" s="17" t="s">
        <v>24</v>
      </c>
      <c r="B10" s="43"/>
      <c r="C10" s="28"/>
      <c r="D10" s="37"/>
      <c r="E10" s="28"/>
      <c r="F10" s="37"/>
      <c r="G10" s="37">
        <f>SUM(G4:G9)</f>
        <v>172</v>
      </c>
      <c r="I10" s="17" t="s">
        <v>24</v>
      </c>
      <c r="J10" s="43"/>
      <c r="K10" s="28"/>
      <c r="L10" s="37"/>
      <c r="M10" s="28"/>
      <c r="N10" s="37"/>
      <c r="O10" s="37">
        <f>SUM(O4:O9)</f>
        <v>172</v>
      </c>
    </row>
    <row r="11" spans="1:15">
      <c r="A11" t="s">
        <v>27</v>
      </c>
      <c r="B11" s="42">
        <f>'Chiffres '!C52</f>
        <v>5243</v>
      </c>
      <c r="C11" s="30">
        <f>'Chiffres '!E52</f>
        <v>8.2299999999999998E-2</v>
      </c>
      <c r="D11" s="36">
        <f t="shared" si="0"/>
        <v>431</v>
      </c>
      <c r="E11" s="1"/>
      <c r="F11" s="36"/>
      <c r="G11" s="36">
        <f>D11</f>
        <v>431</v>
      </c>
      <c r="I11" t="s">
        <v>27</v>
      </c>
      <c r="J11" s="42">
        <f>'Chiffres '!L52</f>
        <v>5243</v>
      </c>
      <c r="K11" s="30">
        <f>'Chiffres '!N52</f>
        <v>8.2299999999999998E-2</v>
      </c>
      <c r="L11" s="36">
        <f t="shared" si="1"/>
        <v>431</v>
      </c>
      <c r="M11" s="1"/>
      <c r="N11" s="36"/>
      <c r="O11" s="36">
        <f>L11</f>
        <v>431</v>
      </c>
    </row>
    <row r="12" spans="1:15">
      <c r="A12" t="s">
        <v>28</v>
      </c>
      <c r="B12" s="42">
        <f>'Chiffres '!C58</f>
        <v>5243</v>
      </c>
      <c r="C12" s="30">
        <f>'Chiffres '!E58</f>
        <v>1.8700000000000001E-2</v>
      </c>
      <c r="D12" s="36">
        <f t="shared" si="0"/>
        <v>98</v>
      </c>
      <c r="E12" s="1"/>
      <c r="F12" s="36"/>
      <c r="G12" s="36">
        <f>D12</f>
        <v>98</v>
      </c>
      <c r="I12" t="s">
        <v>28</v>
      </c>
      <c r="J12" s="42">
        <f>'Chiffres '!L58</f>
        <v>5243</v>
      </c>
      <c r="K12" s="30">
        <f>'Chiffres '!N58</f>
        <v>1.8700000000000001E-2</v>
      </c>
      <c r="L12" s="36">
        <f t="shared" si="1"/>
        <v>98</v>
      </c>
      <c r="M12" s="1"/>
      <c r="N12" s="36"/>
      <c r="O12" s="36">
        <f>L12</f>
        <v>98</v>
      </c>
    </row>
    <row r="13" spans="1:15">
      <c r="A13" t="s">
        <v>40</v>
      </c>
      <c r="B13" s="42"/>
      <c r="C13" s="1"/>
      <c r="D13" s="36">
        <f>G13</f>
        <v>1944</v>
      </c>
      <c r="E13" s="1"/>
      <c r="F13" s="36"/>
      <c r="G13" s="36">
        <f>'Chiffres '!B87</f>
        <v>1944</v>
      </c>
      <c r="I13" t="s">
        <v>40</v>
      </c>
      <c r="J13" s="42"/>
      <c r="K13" s="1"/>
      <c r="L13" s="36">
        <f>O13</f>
        <v>1944</v>
      </c>
      <c r="M13" s="1"/>
      <c r="N13" s="36"/>
      <c r="O13" s="36">
        <f>G13</f>
        <v>1944</v>
      </c>
    </row>
    <row r="14" spans="1:15">
      <c r="A14" t="s">
        <v>41</v>
      </c>
      <c r="B14" s="42">
        <f>'Chiffres '!C93</f>
        <v>0</v>
      </c>
      <c r="C14" s="30">
        <f>'Chiffres '!D90</f>
        <v>0.03</v>
      </c>
      <c r="D14" s="36">
        <f t="shared" si="0"/>
        <v>0</v>
      </c>
      <c r="E14" s="1"/>
      <c r="F14" s="36"/>
      <c r="G14" s="36">
        <f>D14</f>
        <v>0</v>
      </c>
      <c r="I14" t="s">
        <v>41</v>
      </c>
      <c r="J14" s="42">
        <f>'Chiffres '!L93</f>
        <v>0</v>
      </c>
      <c r="K14" s="30">
        <f>'Chiffres '!M90</f>
        <v>0.03</v>
      </c>
      <c r="L14" s="36">
        <f t="shared" si="1"/>
        <v>0</v>
      </c>
      <c r="M14" s="1"/>
      <c r="N14" s="36"/>
      <c r="O14" s="36">
        <f>L14</f>
        <v>0</v>
      </c>
    </row>
    <row r="15" spans="1:15">
      <c r="A15" t="s">
        <v>32</v>
      </c>
      <c r="B15" s="42"/>
      <c r="C15" s="1"/>
      <c r="D15" s="36">
        <f>G15</f>
        <v>862</v>
      </c>
      <c r="E15" s="1"/>
      <c r="F15" s="36"/>
      <c r="G15" s="36">
        <f>'Chiffres '!B95</f>
        <v>862</v>
      </c>
      <c r="I15" t="s">
        <v>32</v>
      </c>
      <c r="J15" s="42"/>
      <c r="K15" s="1"/>
      <c r="L15" s="36">
        <f>O15</f>
        <v>862</v>
      </c>
      <c r="M15" s="1"/>
      <c r="N15" s="36"/>
      <c r="O15" s="36">
        <f>'Chiffres '!B95</f>
        <v>862</v>
      </c>
    </row>
    <row r="16" spans="1:15">
      <c r="A16" t="s">
        <v>44</v>
      </c>
      <c r="B16" s="42"/>
      <c r="C16" s="1"/>
      <c r="D16" s="36">
        <f>'Chiffres '!B97</f>
        <v>634</v>
      </c>
      <c r="E16" s="1"/>
      <c r="F16" s="36"/>
      <c r="G16" s="36">
        <f>D16-F16</f>
        <v>634</v>
      </c>
      <c r="I16" t="s">
        <v>44</v>
      </c>
      <c r="J16" s="42"/>
      <c r="K16" s="1"/>
      <c r="L16" s="36">
        <f>'Chiffres '!B97</f>
        <v>634</v>
      </c>
      <c r="M16" s="1"/>
      <c r="N16" s="36"/>
      <c r="O16" s="36">
        <f>L16-N16</f>
        <v>634</v>
      </c>
    </row>
    <row r="17" spans="1:15">
      <c r="A17" t="s">
        <v>43</v>
      </c>
      <c r="B17" s="42">
        <f>B6</f>
        <v>0</v>
      </c>
      <c r="C17" s="30">
        <f>'Chiffres '!B100</f>
        <v>4.0000000000000001E-3</v>
      </c>
      <c r="D17" s="36">
        <f t="shared" ref="D17" si="2">ROUND(B17*C17,0)</f>
        <v>0</v>
      </c>
      <c r="E17" s="1"/>
      <c r="F17" s="36"/>
      <c r="G17" s="36">
        <f>D17-F17</f>
        <v>0</v>
      </c>
      <c r="I17" t="s">
        <v>43</v>
      </c>
      <c r="J17" s="42">
        <f>J6</f>
        <v>0</v>
      </c>
      <c r="K17" s="30">
        <f>'Chiffres '!B100</f>
        <v>4.0000000000000001E-3</v>
      </c>
      <c r="L17" s="36">
        <f t="shared" ref="L17" si="3">ROUND(J17*K17,0)</f>
        <v>0</v>
      </c>
      <c r="M17" s="1"/>
      <c r="N17" s="36"/>
      <c r="O17" s="36">
        <f>L17-N17</f>
        <v>0</v>
      </c>
    </row>
    <row r="18" spans="1:15" ht="15" customHeight="1">
      <c r="A18" s="17" t="s">
        <v>45</v>
      </c>
      <c r="B18" s="28"/>
      <c r="C18" s="28"/>
      <c r="D18" s="28"/>
      <c r="E18" s="28"/>
      <c r="F18" s="28"/>
      <c r="G18" s="37">
        <f>SUM(G11:G17)</f>
        <v>3969</v>
      </c>
      <c r="I18" s="17" t="s">
        <v>45</v>
      </c>
      <c r="J18" s="28"/>
      <c r="K18" s="28"/>
      <c r="L18" s="28"/>
      <c r="M18" s="28"/>
      <c r="N18" s="28"/>
      <c r="O18" s="37">
        <f>SUM(O11:O17)</f>
        <v>3969</v>
      </c>
    </row>
    <row r="20" spans="1:15">
      <c r="A20" s="24" t="s">
        <v>59</v>
      </c>
      <c r="B20" s="24"/>
      <c r="C20" s="24"/>
      <c r="D20" s="24"/>
      <c r="E20" s="24"/>
      <c r="F20" s="24"/>
      <c r="G20" s="23">
        <f>G18+G10</f>
        <v>4141</v>
      </c>
      <c r="I20" s="24" t="s">
        <v>59</v>
      </c>
      <c r="J20" s="24"/>
      <c r="K20" s="24"/>
      <c r="L20" s="24"/>
      <c r="M20" s="24"/>
      <c r="N20" s="24"/>
      <c r="O20" s="23">
        <f>O18+O10</f>
        <v>4141</v>
      </c>
    </row>
    <row r="22" spans="1:15" ht="15.75">
      <c r="A22" s="27" t="s">
        <v>127</v>
      </c>
      <c r="B22" s="26"/>
      <c r="C22" s="26"/>
      <c r="D22" s="26"/>
      <c r="E22" s="26"/>
      <c r="F22" s="26"/>
      <c r="G22" s="25">
        <f>G20-O20</f>
        <v>0</v>
      </c>
    </row>
    <row r="24" spans="1:15" ht="15.75">
      <c r="A24" s="27" t="s">
        <v>128</v>
      </c>
      <c r="B24" s="26"/>
      <c r="C24" s="26"/>
      <c r="D24" s="26"/>
      <c r="E24" s="26"/>
      <c r="F24" s="26"/>
      <c r="G24" s="25">
        <f>-'Chiffres '!L1</f>
        <v>0</v>
      </c>
    </row>
    <row r="26" spans="1:15" ht="15.75">
      <c r="A26" s="27" t="s">
        <v>129</v>
      </c>
      <c r="B26" s="26"/>
      <c r="C26" s="26"/>
      <c r="D26" s="26"/>
      <c r="E26" s="26"/>
      <c r="F26" s="26"/>
      <c r="G26" s="25">
        <f>RIOGA</f>
        <v>0</v>
      </c>
    </row>
    <row r="27" spans="1:15">
      <c r="A27" t="str">
        <f>"- SURCOÛT CHARGES SOCIALES"</f>
        <v>- SURCOÛT CHARGES SOCIALES</v>
      </c>
      <c r="G27" s="49">
        <f>G22</f>
        <v>0</v>
      </c>
    </row>
    <row r="28" spans="1:15">
      <c r="A28" t="str">
        <f>"- SURCOÛT IR"</f>
        <v>- SURCOÛT IR</v>
      </c>
      <c r="G28" s="49">
        <f>+G24</f>
        <v>0</v>
      </c>
    </row>
    <row r="29" spans="1:15">
      <c r="A29" t="s">
        <v>130</v>
      </c>
      <c r="G29" s="49">
        <f>SUM(G26:G28)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5"/>
  <sheetViews>
    <sheetView workbookViewId="0">
      <selection activeCell="J9" sqref="J9"/>
    </sheetView>
  </sheetViews>
  <sheetFormatPr baseColWidth="10" defaultRowHeight="15"/>
  <cols>
    <col min="1" max="1" width="22.7109375" bestFit="1" customWidth="1"/>
    <col min="7" max="7" width="13.140625" customWidth="1"/>
    <col min="8" max="8" width="3.28515625" customWidth="1"/>
    <col min="9" max="9" width="23.28515625" customWidth="1"/>
    <col min="15" max="15" width="14.7109375" customWidth="1"/>
  </cols>
  <sheetData>
    <row r="2" spans="1:15">
      <c r="A2" s="126" t="s">
        <v>25</v>
      </c>
      <c r="B2" s="126"/>
      <c r="C2" s="126"/>
      <c r="D2" s="126"/>
      <c r="E2" s="126"/>
      <c r="F2" s="126"/>
      <c r="G2" s="126"/>
      <c r="I2" s="126" t="s">
        <v>58</v>
      </c>
      <c r="J2" s="126"/>
      <c r="K2" s="126"/>
      <c r="L2" s="126"/>
      <c r="M2" s="126"/>
      <c r="N2" s="126"/>
      <c r="O2" s="126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18</v>
      </c>
      <c r="B4">
        <f>'9-CIPAV'!B4</f>
        <v>0</v>
      </c>
      <c r="C4" s="6">
        <f>'Chiffres '!E30</f>
        <v>0</v>
      </c>
      <c r="D4">
        <f t="shared" ref="D4:D11" si="0">ROUND(B4*C4,0)</f>
        <v>0</v>
      </c>
      <c r="G4" s="19">
        <f>D4</f>
        <v>0</v>
      </c>
      <c r="I4" t="s">
        <v>18</v>
      </c>
      <c r="J4">
        <f>'9-CIPAV'!J4</f>
        <v>0</v>
      </c>
      <c r="K4" s="6">
        <f>'Chiffres '!N30</f>
        <v>0</v>
      </c>
      <c r="L4">
        <f t="shared" ref="L4:L8" si="1">ROUND(J4*K4,0)</f>
        <v>0</v>
      </c>
      <c r="O4" s="19">
        <f>L4</f>
        <v>0</v>
      </c>
    </row>
    <row r="5" spans="1:15">
      <c r="A5" t="s">
        <v>20</v>
      </c>
      <c r="B5">
        <f>'Chiffres '!C36</f>
        <v>18547</v>
      </c>
      <c r="C5" s="6">
        <f>'Chiffres '!D34</f>
        <v>3.0000000000000001E-3</v>
      </c>
      <c r="D5">
        <f t="shared" si="0"/>
        <v>56</v>
      </c>
      <c r="G5" s="19">
        <f>D5</f>
        <v>56</v>
      </c>
      <c r="I5" t="s">
        <v>20</v>
      </c>
      <c r="J5">
        <f>'Chiffres '!L36</f>
        <v>18547</v>
      </c>
      <c r="K5" s="6">
        <f>'Chiffres '!N36</f>
        <v>3.0000000000000001E-3</v>
      </c>
      <c r="L5">
        <f t="shared" si="1"/>
        <v>56</v>
      </c>
      <c r="O5" s="19">
        <f>L5</f>
        <v>56</v>
      </c>
    </row>
    <row r="6" spans="1:15">
      <c r="A6" t="s">
        <v>21</v>
      </c>
      <c r="B6">
        <f>B4</f>
        <v>0</v>
      </c>
      <c r="C6" s="15">
        <f>'Chiffres '!E42</f>
        <v>0</v>
      </c>
      <c r="D6">
        <f t="shared" si="0"/>
        <v>0</v>
      </c>
      <c r="G6" s="19">
        <f>D6-F6</f>
        <v>0</v>
      </c>
      <c r="I6" t="s">
        <v>21</v>
      </c>
      <c r="J6">
        <f>J4</f>
        <v>0</v>
      </c>
      <c r="K6" s="6">
        <f>'Chiffres '!N42</f>
        <v>0</v>
      </c>
      <c r="L6">
        <f t="shared" si="1"/>
        <v>0</v>
      </c>
      <c r="O6" s="19">
        <f>L6-N6</f>
        <v>0</v>
      </c>
    </row>
    <row r="7" spans="1:15">
      <c r="A7" t="s">
        <v>12</v>
      </c>
      <c r="B7">
        <f>PASS</f>
        <v>46368</v>
      </c>
      <c r="C7" s="6">
        <f>'Chiffres '!D45</f>
        <v>2.5000000000000001E-3</v>
      </c>
      <c r="D7">
        <f t="shared" si="0"/>
        <v>116</v>
      </c>
      <c r="G7" s="19">
        <f>D7</f>
        <v>116</v>
      </c>
      <c r="I7" t="s">
        <v>12</v>
      </c>
      <c r="J7">
        <f>PASS</f>
        <v>46368</v>
      </c>
      <c r="K7" s="6">
        <f>'Chiffres '!D45</f>
        <v>2.5000000000000001E-3</v>
      </c>
      <c r="L7">
        <f t="shared" si="1"/>
        <v>116</v>
      </c>
      <c r="O7" s="19">
        <f>L7</f>
        <v>116</v>
      </c>
    </row>
    <row r="8" spans="1:15">
      <c r="A8" t="s">
        <v>11</v>
      </c>
      <c r="B8">
        <f>'5-EC_CAC'!B8</f>
        <v>0</v>
      </c>
      <c r="C8" s="6">
        <f>'Chiffres '!D43</f>
        <v>9.7000000000000003E-2</v>
      </c>
      <c r="D8">
        <f t="shared" si="0"/>
        <v>0</v>
      </c>
      <c r="G8" s="19">
        <f>D8</f>
        <v>0</v>
      </c>
      <c r="I8" t="s">
        <v>11</v>
      </c>
      <c r="J8">
        <f>'5-EC_CAC'!J8</f>
        <v>0</v>
      </c>
      <c r="K8" s="6">
        <f>'Chiffres '!D43</f>
        <v>9.7000000000000003E-2</v>
      </c>
      <c r="L8">
        <f t="shared" si="1"/>
        <v>0</v>
      </c>
      <c r="O8" s="19">
        <f>L8</f>
        <v>0</v>
      </c>
    </row>
    <row r="9" spans="1:15">
      <c r="A9" s="17" t="s">
        <v>24</v>
      </c>
      <c r="B9" s="17"/>
      <c r="C9" s="17"/>
      <c r="D9" s="17"/>
      <c r="E9" s="17"/>
      <c r="F9" s="17"/>
      <c r="G9" s="20">
        <f>SUM(G4:G8)</f>
        <v>172</v>
      </c>
      <c r="H9" s="18"/>
      <c r="I9" s="17" t="s">
        <v>24</v>
      </c>
      <c r="J9" s="17"/>
      <c r="K9" s="17"/>
      <c r="L9" s="17"/>
      <c r="M9" s="17"/>
      <c r="N9" s="17"/>
      <c r="O9" s="20">
        <f>SUM(O4:O8)</f>
        <v>172</v>
      </c>
    </row>
    <row r="10" spans="1:15">
      <c r="A10" t="s">
        <v>179</v>
      </c>
      <c r="B10" t="str">
        <f>'Chiffres '!A299&amp;"è année"&amp;IF('Chiffres '!A305=6," ou +","")</f>
        <v>0è année ou +</v>
      </c>
      <c r="C10" s="6"/>
      <c r="D10" t="e">
        <f>'Chiffres '!B306</f>
        <v>#N/A</v>
      </c>
      <c r="G10" s="19" t="e">
        <f>D10</f>
        <v>#N/A</v>
      </c>
      <c r="I10" t="str">
        <f>A10</f>
        <v>Retraite de base Forfaitaire</v>
      </c>
      <c r="J10" t="str">
        <f>B10</f>
        <v>0è année ou +</v>
      </c>
      <c r="K10" s="6"/>
      <c r="L10" t="e">
        <f>D10</f>
        <v>#N/A</v>
      </c>
      <c r="O10" s="19" t="e">
        <f>L10</f>
        <v>#N/A</v>
      </c>
    </row>
    <row r="11" spans="1:15">
      <c r="A11" t="s">
        <v>180</v>
      </c>
      <c r="B11">
        <f>'Chiffres '!C310</f>
        <v>0</v>
      </c>
      <c r="C11" s="6">
        <f>'Chiffres '!D310</f>
        <v>3.1E-2</v>
      </c>
      <c r="D11">
        <f t="shared" si="0"/>
        <v>0</v>
      </c>
      <c r="G11" s="19">
        <f>D11</f>
        <v>0</v>
      </c>
      <c r="I11" t="str">
        <f>A11</f>
        <v>Retraite de base Proportionnelle</v>
      </c>
      <c r="J11">
        <f>'Chiffres '!L310</f>
        <v>0</v>
      </c>
      <c r="K11" s="6">
        <f>'Chiffres '!M310</f>
        <v>3.1E-2</v>
      </c>
      <c r="L11">
        <f>ROUND(J11*K11,0)</f>
        <v>0</v>
      </c>
      <c r="O11" s="19">
        <f>L11</f>
        <v>0</v>
      </c>
    </row>
    <row r="12" spans="1:15">
      <c r="A12" t="s">
        <v>32</v>
      </c>
      <c r="B12" t="str">
        <f>B10</f>
        <v>0è année ou +</v>
      </c>
      <c r="C12" s="4"/>
      <c r="D12" t="e">
        <f>'Chiffres '!B320</f>
        <v>#N/A</v>
      </c>
      <c r="G12" s="19" t="e">
        <f>D12</f>
        <v>#N/A</v>
      </c>
      <c r="I12" t="str">
        <f>A12</f>
        <v>Invalidité-décès</v>
      </c>
      <c r="J12" t="str">
        <f>B12</f>
        <v>0è année ou +</v>
      </c>
      <c r="K12" s="4"/>
      <c r="L12" t="e">
        <f>D12</f>
        <v>#N/A</v>
      </c>
      <c r="O12" s="19" t="e">
        <f>G12</f>
        <v>#N/A</v>
      </c>
    </row>
    <row r="13" spans="1:15">
      <c r="A13" t="s">
        <v>195</v>
      </c>
      <c r="B13" t="str">
        <f>'Chiffres '!C330</f>
        <v>Classe 0</v>
      </c>
      <c r="C13" s="6"/>
      <c r="D13" t="e">
        <f>'Chiffres '!E330</f>
        <v>#N/A</v>
      </c>
      <c r="G13" s="19" t="e">
        <f>D13</f>
        <v>#N/A</v>
      </c>
      <c r="I13" t="str">
        <f>A13</f>
        <v xml:space="preserve">Retraite complément. </v>
      </c>
      <c r="J13" t="str">
        <f>B13</f>
        <v>Classe 0</v>
      </c>
      <c r="K13" s="6"/>
      <c r="L13" t="e">
        <f>'Chiffres '!N330</f>
        <v>#N/A</v>
      </c>
      <c r="O13" s="19" t="e">
        <f>L13</f>
        <v>#N/A</v>
      </c>
    </row>
    <row r="14" spans="1:15">
      <c r="A14" s="17" t="s">
        <v>149</v>
      </c>
      <c r="B14" s="17"/>
      <c r="C14" s="17"/>
      <c r="D14" s="17"/>
      <c r="E14" s="17"/>
      <c r="F14" s="17"/>
      <c r="G14" s="20" t="e">
        <f>SUM(G10:G13)</f>
        <v>#N/A</v>
      </c>
      <c r="I14" s="17" t="str">
        <f>A14</f>
        <v>TOTAL VIEILLESSE</v>
      </c>
      <c r="J14" s="17"/>
      <c r="K14" s="17"/>
      <c r="L14" s="17"/>
      <c r="M14" s="17"/>
      <c r="N14" s="17"/>
      <c r="O14" s="20" t="e">
        <f>SUM(O10:O13)</f>
        <v>#N/A</v>
      </c>
    </row>
    <row r="16" spans="1:15">
      <c r="A16" s="24" t="s">
        <v>59</v>
      </c>
      <c r="B16" s="24"/>
      <c r="C16" s="24"/>
      <c r="D16" s="24"/>
      <c r="E16" s="24"/>
      <c r="F16" s="24"/>
      <c r="G16" s="23" t="e">
        <f>G14+G9</f>
        <v>#N/A</v>
      </c>
      <c r="I16" s="24" t="s">
        <v>59</v>
      </c>
      <c r="J16" s="24"/>
      <c r="K16" s="24"/>
      <c r="L16" s="24"/>
      <c r="M16" s="24"/>
      <c r="N16" s="24"/>
      <c r="O16" s="23" t="e">
        <f>O14+O9</f>
        <v>#N/A</v>
      </c>
    </row>
    <row r="18" spans="1:7" ht="15.75">
      <c r="A18" s="27" t="s">
        <v>127</v>
      </c>
      <c r="B18" s="26"/>
      <c r="C18" s="26"/>
      <c r="D18" s="26"/>
      <c r="E18" s="26"/>
      <c r="F18" s="26"/>
      <c r="G18" s="25" t="e">
        <f>G16-O16</f>
        <v>#N/A</v>
      </c>
    </row>
    <row r="20" spans="1:7" ht="15.75">
      <c r="A20" s="27" t="s">
        <v>128</v>
      </c>
      <c r="B20" s="26"/>
      <c r="C20" s="26"/>
      <c r="D20" s="26"/>
      <c r="E20" s="26"/>
      <c r="F20" s="26"/>
      <c r="G20" s="25">
        <f>-'Chiffres '!L1</f>
        <v>0</v>
      </c>
    </row>
    <row r="22" spans="1:7" ht="15.75">
      <c r="A22" s="27" t="s">
        <v>129</v>
      </c>
      <c r="B22" s="26"/>
      <c r="C22" s="26"/>
      <c r="D22" s="26"/>
      <c r="E22" s="26"/>
      <c r="F22" s="26"/>
      <c r="G22" s="25">
        <f>RIOGA</f>
        <v>0</v>
      </c>
    </row>
    <row r="23" spans="1:7">
      <c r="A23" t="str">
        <f>"- SURCOÛT CHARGES SOCIALES"</f>
        <v>- SURCOÛT CHARGES SOCIALES</v>
      </c>
      <c r="G23" s="49" t="e">
        <f>G18</f>
        <v>#N/A</v>
      </c>
    </row>
    <row r="24" spans="1:7">
      <c r="A24" t="str">
        <f>"- SURCOÛT IR"</f>
        <v>- SURCOÛT IR</v>
      </c>
      <c r="G24" s="49">
        <f>+G20</f>
        <v>0</v>
      </c>
    </row>
    <row r="25" spans="1:7">
      <c r="A25" t="s">
        <v>130</v>
      </c>
      <c r="G25" s="49" t="e">
        <f>SUM(G22:G24)</f>
        <v>#N/A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3"/>
  <sheetViews>
    <sheetView workbookViewId="0">
      <selection activeCell="B9" sqref="B9"/>
    </sheetView>
  </sheetViews>
  <sheetFormatPr baseColWidth="10" defaultRowHeight="15"/>
  <cols>
    <col min="1" max="1" width="22.7109375" bestFit="1" customWidth="1"/>
    <col min="7" max="7" width="13.140625" customWidth="1"/>
    <col min="8" max="8" width="3.28515625" customWidth="1"/>
    <col min="9" max="9" width="23.28515625" customWidth="1"/>
    <col min="15" max="15" width="14.7109375" customWidth="1"/>
  </cols>
  <sheetData>
    <row r="2" spans="1:15">
      <c r="A2" s="126" t="s">
        <v>25</v>
      </c>
      <c r="B2" s="126"/>
      <c r="C2" s="126"/>
      <c r="D2" s="126"/>
      <c r="E2" s="126"/>
      <c r="F2" s="126"/>
      <c r="G2" s="126"/>
      <c r="I2" s="126" t="s">
        <v>58</v>
      </c>
      <c r="J2" s="126"/>
      <c r="K2" s="126"/>
      <c r="L2" s="126"/>
      <c r="M2" s="126"/>
      <c r="N2" s="126"/>
      <c r="O2" s="126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18</v>
      </c>
      <c r="B4">
        <f>'9-CIPAV'!B4</f>
        <v>0</v>
      </c>
      <c r="C4" s="6">
        <f>'Chiffres '!E30</f>
        <v>0</v>
      </c>
      <c r="D4">
        <f t="shared" ref="D4:D8" si="0">ROUND(B4*C4,0)</f>
        <v>0</v>
      </c>
      <c r="G4" s="19">
        <f>D4</f>
        <v>0</v>
      </c>
      <c r="I4" t="s">
        <v>18</v>
      </c>
      <c r="J4">
        <f>'9-CIPAV'!J4</f>
        <v>0</v>
      </c>
      <c r="K4" s="6">
        <f>'Chiffres '!N30</f>
        <v>0</v>
      </c>
      <c r="L4">
        <f t="shared" ref="L4:L8" si="1">ROUND(J4*K4,0)</f>
        <v>0</v>
      </c>
      <c r="O4" s="19">
        <f>L4</f>
        <v>0</v>
      </c>
    </row>
    <row r="5" spans="1:15">
      <c r="A5" t="s">
        <v>20</v>
      </c>
      <c r="B5">
        <f>'Chiffres '!C36</f>
        <v>18547</v>
      </c>
      <c r="C5" s="6">
        <f>'Chiffres '!D34</f>
        <v>3.0000000000000001E-3</v>
      </c>
      <c r="D5">
        <f t="shared" si="0"/>
        <v>56</v>
      </c>
      <c r="G5" s="19">
        <f>D5</f>
        <v>56</v>
      </c>
      <c r="I5" t="s">
        <v>20</v>
      </c>
      <c r="J5">
        <f>'Chiffres '!L36</f>
        <v>18547</v>
      </c>
      <c r="K5" s="6">
        <f>'Chiffres '!N36</f>
        <v>3.0000000000000001E-3</v>
      </c>
      <c r="L5">
        <f t="shared" si="1"/>
        <v>56</v>
      </c>
      <c r="O5" s="19">
        <f>L5</f>
        <v>56</v>
      </c>
    </row>
    <row r="6" spans="1:15">
      <c r="A6" t="s">
        <v>21</v>
      </c>
      <c r="B6">
        <f>B4</f>
        <v>0</v>
      </c>
      <c r="C6" s="15">
        <f>'Chiffres '!E42</f>
        <v>0</v>
      </c>
      <c r="D6">
        <f t="shared" si="0"/>
        <v>0</v>
      </c>
      <c r="G6" s="19">
        <f>D6-F6</f>
        <v>0</v>
      </c>
      <c r="I6" t="s">
        <v>21</v>
      </c>
      <c r="J6">
        <f>J4</f>
        <v>0</v>
      </c>
      <c r="K6" s="6">
        <f>'Chiffres '!N42</f>
        <v>0</v>
      </c>
      <c r="L6">
        <f t="shared" si="1"/>
        <v>0</v>
      </c>
      <c r="O6" s="19">
        <f>L6-N6</f>
        <v>0</v>
      </c>
    </row>
    <row r="7" spans="1:15">
      <c r="A7" t="s">
        <v>12</v>
      </c>
      <c r="B7">
        <f>PASS</f>
        <v>46368</v>
      </c>
      <c r="C7" s="6">
        <f>'Chiffres '!D45</f>
        <v>2.5000000000000001E-3</v>
      </c>
      <c r="D7">
        <f t="shared" si="0"/>
        <v>116</v>
      </c>
      <c r="G7" s="19">
        <f>D7</f>
        <v>116</v>
      </c>
      <c r="I7" t="s">
        <v>12</v>
      </c>
      <c r="J7">
        <f>PASS</f>
        <v>46368</v>
      </c>
      <c r="K7" s="6">
        <f>'Chiffres '!D45</f>
        <v>2.5000000000000001E-3</v>
      </c>
      <c r="L7">
        <f t="shared" si="1"/>
        <v>116</v>
      </c>
      <c r="O7" s="19">
        <f>L7</f>
        <v>116</v>
      </c>
    </row>
    <row r="8" spans="1:15">
      <c r="A8" t="s">
        <v>11</v>
      </c>
      <c r="B8">
        <f>'5-EC_CAC'!B8</f>
        <v>0</v>
      </c>
      <c r="C8" s="6">
        <f>'Chiffres '!D43</f>
        <v>9.7000000000000003E-2</v>
      </c>
      <c r="D8">
        <f t="shared" si="0"/>
        <v>0</v>
      </c>
      <c r="G8" s="19">
        <f>D8</f>
        <v>0</v>
      </c>
      <c r="I8" t="s">
        <v>11</v>
      </c>
      <c r="J8">
        <f>'5-EC_CAC'!J8</f>
        <v>0</v>
      </c>
      <c r="K8" s="6">
        <f>'Chiffres '!D43</f>
        <v>9.7000000000000003E-2</v>
      </c>
      <c r="L8">
        <f t="shared" si="1"/>
        <v>0</v>
      </c>
      <c r="O8" s="19">
        <f>L8</f>
        <v>0</v>
      </c>
    </row>
    <row r="9" spans="1:15">
      <c r="A9" s="17" t="s">
        <v>24</v>
      </c>
      <c r="B9" s="17"/>
      <c r="C9" s="17"/>
      <c r="D9" s="17"/>
      <c r="E9" s="17"/>
      <c r="F9" s="17"/>
      <c r="G9" s="20">
        <f>SUM(G4:G8)</f>
        <v>172</v>
      </c>
      <c r="H9" s="18"/>
      <c r="I9" s="17" t="s">
        <v>24</v>
      </c>
      <c r="J9" s="17"/>
      <c r="K9" s="17"/>
      <c r="L9" s="17"/>
      <c r="M9" s="17"/>
      <c r="N9" s="17"/>
      <c r="O9" s="20">
        <f>SUM(O4:O8)</f>
        <v>172</v>
      </c>
    </row>
    <row r="10" spans="1:15">
      <c r="A10" t="str">
        <f>'8-PAM'!A12</f>
        <v>Retraite de base 1</v>
      </c>
      <c r="B10" s="86">
        <f>'8-PAM'!B12</f>
        <v>5243</v>
      </c>
      <c r="C10" s="6">
        <f>'8-PAM'!C12</f>
        <v>8.2299999999999998E-2</v>
      </c>
      <c r="D10" s="86">
        <f>'8-PAM'!D12</f>
        <v>431</v>
      </c>
      <c r="E10" s="86"/>
      <c r="F10" s="86"/>
      <c r="G10" s="19">
        <f>'8-PAM'!G12</f>
        <v>431</v>
      </c>
      <c r="I10" t="str">
        <f>A10</f>
        <v>Retraite de base 1</v>
      </c>
      <c r="J10" s="86">
        <f>'8-PAM'!J12</f>
        <v>5243</v>
      </c>
      <c r="K10" s="6">
        <f>'8-PAM'!K12</f>
        <v>8.2299999999999998E-2</v>
      </c>
      <c r="L10">
        <f>'8-PAM'!L12</f>
        <v>431</v>
      </c>
      <c r="O10" s="19">
        <f>L10</f>
        <v>431</v>
      </c>
    </row>
    <row r="11" spans="1:15">
      <c r="A11" t="str">
        <f>'8-PAM'!A13</f>
        <v>Retraite de base 2</v>
      </c>
      <c r="B11" s="86">
        <f>'8-PAM'!B13</f>
        <v>5243</v>
      </c>
      <c r="C11" s="6">
        <f>'8-PAM'!C13</f>
        <v>1.8700000000000001E-2</v>
      </c>
      <c r="D11" s="86">
        <f>'8-PAM'!D13</f>
        <v>98</v>
      </c>
      <c r="E11" s="86"/>
      <c r="F11" s="86"/>
      <c r="G11" s="19">
        <f>'8-PAM'!G13</f>
        <v>98</v>
      </c>
      <c r="I11" t="str">
        <f>A11</f>
        <v>Retraite de base 2</v>
      </c>
      <c r="J11" s="86">
        <f>'8-PAM'!J13</f>
        <v>5243</v>
      </c>
      <c r="K11" s="6">
        <f>'8-PAM'!K13</f>
        <v>1.8700000000000001E-2</v>
      </c>
      <c r="L11">
        <f>'8-PAM'!L13</f>
        <v>98</v>
      </c>
      <c r="O11" s="19">
        <f>L11</f>
        <v>98</v>
      </c>
    </row>
    <row r="12" spans="1:15">
      <c r="A12" s="17" t="s">
        <v>199</v>
      </c>
      <c r="B12" s="17"/>
      <c r="C12" s="17"/>
      <c r="D12" s="17"/>
      <c r="E12" s="17"/>
      <c r="F12" s="17"/>
      <c r="G12" s="87">
        <f>G10+G11</f>
        <v>529</v>
      </c>
      <c r="I12" s="17" t="s">
        <v>199</v>
      </c>
      <c r="J12" s="17"/>
      <c r="K12" s="17"/>
      <c r="L12" s="17"/>
      <c r="M12" s="17"/>
      <c r="N12" s="17"/>
      <c r="O12" s="87">
        <f>O10+O11</f>
        <v>529</v>
      </c>
    </row>
    <row r="14" spans="1:15">
      <c r="A14" s="24" t="s">
        <v>59</v>
      </c>
      <c r="B14" s="24"/>
      <c r="C14" s="24"/>
      <c r="D14" s="24"/>
      <c r="E14" s="24"/>
      <c r="F14" s="24"/>
      <c r="G14" s="23">
        <f>G9+G12</f>
        <v>701</v>
      </c>
      <c r="I14" s="24" t="s">
        <v>59</v>
      </c>
      <c r="J14" s="24"/>
      <c r="K14" s="24"/>
      <c r="L14" s="24"/>
      <c r="M14" s="24"/>
      <c r="N14" s="24"/>
      <c r="O14" s="23">
        <f>O9+O12</f>
        <v>701</v>
      </c>
    </row>
    <row r="16" spans="1:15" ht="15.75">
      <c r="A16" s="27" t="s">
        <v>127</v>
      </c>
      <c r="B16" s="26"/>
      <c r="C16" s="26"/>
      <c r="D16" s="26"/>
      <c r="E16" s="26"/>
      <c r="F16" s="26"/>
      <c r="G16" s="25">
        <f>G14-O14</f>
        <v>0</v>
      </c>
    </row>
    <row r="18" spans="1:7" ht="15.75">
      <c r="A18" s="27" t="s">
        <v>128</v>
      </c>
      <c r="B18" s="26"/>
      <c r="C18" s="26"/>
      <c r="D18" s="26"/>
      <c r="E18" s="26"/>
      <c r="F18" s="26"/>
      <c r="G18" s="25">
        <f>-'Chiffres '!L1</f>
        <v>0</v>
      </c>
    </row>
    <row r="20" spans="1:7" ht="15.75">
      <c r="A20" s="27" t="s">
        <v>129</v>
      </c>
      <c r="B20" s="26"/>
      <c r="C20" s="26"/>
      <c r="D20" s="26"/>
      <c r="E20" s="26"/>
      <c r="F20" s="26"/>
      <c r="G20" s="25">
        <f>RIOGA</f>
        <v>0</v>
      </c>
    </row>
    <row r="21" spans="1:7">
      <c r="A21" t="str">
        <f>"- SURCOÛT CHARGES SOCIALES"</f>
        <v>- SURCOÛT CHARGES SOCIALES</v>
      </c>
      <c r="G21" s="49">
        <f>G16</f>
        <v>0</v>
      </c>
    </row>
    <row r="22" spans="1:7">
      <c r="A22" t="str">
        <f>"- SURCOÛT IR"</f>
        <v>- SURCOÛT IR</v>
      </c>
      <c r="G22" s="49">
        <f>+G18</f>
        <v>0</v>
      </c>
    </row>
    <row r="23" spans="1:7">
      <c r="A23" t="s">
        <v>130</v>
      </c>
      <c r="G23" s="49">
        <f>SUM(G20:G22)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W337"/>
  <sheetViews>
    <sheetView workbookViewId="0">
      <pane ySplit="18" topLeftCell="A19" activePane="bottomLeft" state="frozen"/>
      <selection pane="bottomLeft" activeCell="D5" sqref="D5"/>
    </sheetView>
  </sheetViews>
  <sheetFormatPr baseColWidth="10" defaultRowHeight="15"/>
  <cols>
    <col min="1" max="1" width="19.42578125" customWidth="1"/>
    <col min="2" max="2" width="15.7109375" customWidth="1"/>
    <col min="4" max="4" width="12.7109375" bestFit="1" customWidth="1"/>
    <col min="9" max="9" width="3.140625" customWidth="1"/>
    <col min="10" max="10" width="19.140625" customWidth="1"/>
    <col min="21" max="21" width="16.42578125" bestFit="1" customWidth="1"/>
  </cols>
  <sheetData>
    <row r="1" spans="1:23">
      <c r="A1" t="s">
        <v>70</v>
      </c>
      <c r="D1" s="48">
        <f>'IMPACTS RIOGA'!O13-RIOGA</f>
        <v>0</v>
      </c>
      <c r="G1" t="e">
        <f>REVENU_RIOGA*D3</f>
        <v>#DIV/0!</v>
      </c>
      <c r="K1" t="s">
        <v>126</v>
      </c>
      <c r="L1">
        <f>ROUND(RIOGA*'IMPACTS RIOGA'!O23,0)</f>
        <v>0</v>
      </c>
      <c r="P1" s="4">
        <f>'IMPACTS RIOGA'!G25</f>
        <v>0</v>
      </c>
      <c r="Q1" t="s">
        <v>170</v>
      </c>
      <c r="R1" t="s">
        <v>171</v>
      </c>
      <c r="S1">
        <f>IF($P$1=R1,1,0)</f>
        <v>0</v>
      </c>
      <c r="U1" s="4">
        <f>'IMPACTS RIOGA'!O25</f>
        <v>0</v>
      </c>
      <c r="V1" t="s">
        <v>181</v>
      </c>
      <c r="W1">
        <f>IF($U$1=V1,1,0)</f>
        <v>0</v>
      </c>
    </row>
    <row r="2" spans="1:23">
      <c r="A2" t="s">
        <v>69</v>
      </c>
      <c r="D2" s="41">
        <f>D6+D1</f>
        <v>0</v>
      </c>
      <c r="G2">
        <f>REVENU+RIOGA</f>
        <v>0</v>
      </c>
      <c r="R2" t="s">
        <v>172</v>
      </c>
      <c r="S2">
        <f>IF($P$1=R2,2,0)</f>
        <v>0</v>
      </c>
      <c r="V2" t="s">
        <v>182</v>
      </c>
      <c r="W2">
        <f>IF($U$1=V2,2,0)</f>
        <v>0</v>
      </c>
    </row>
    <row r="3" spans="1:23">
      <c r="A3" t="s">
        <v>71</v>
      </c>
      <c r="D3" s="41" t="e">
        <f>D1/REVENU</f>
        <v>#DIV/0!</v>
      </c>
      <c r="R3" t="s">
        <v>173</v>
      </c>
      <c r="S3">
        <f>IF($P$1=R3,3,0)</f>
        <v>0</v>
      </c>
      <c r="V3" t="s">
        <v>183</v>
      </c>
      <c r="W3">
        <f>IF($U$1=V3,3,0)</f>
        <v>0</v>
      </c>
    </row>
    <row r="4" spans="1:23">
      <c r="A4" t="s">
        <v>2</v>
      </c>
      <c r="D4" s="11" cm="1">
        <f t="array" ref="D4:F4">'IMPACTS RIOGA'!O17:Q17</f>
        <v>0</v>
      </c>
      <c r="E4">
        <v>0</v>
      </c>
      <c r="F4">
        <v>0</v>
      </c>
      <c r="R4" t="s">
        <v>174</v>
      </c>
      <c r="S4">
        <f>IF($P$1=R4,4,0)</f>
        <v>0</v>
      </c>
      <c r="V4" t="s">
        <v>184</v>
      </c>
      <c r="W4">
        <f>IF($U$1=V4,4,0)</f>
        <v>0</v>
      </c>
    </row>
    <row r="5" spans="1:23">
      <c r="A5" t="s">
        <v>3</v>
      </c>
      <c r="D5" s="11">
        <f>'IMPACTS RIOGA'!O11</f>
        <v>0</v>
      </c>
      <c r="E5" t="e">
        <f>RIOGA*D3</f>
        <v>#DIV/0!</v>
      </c>
      <c r="R5" t="s">
        <v>175</v>
      </c>
      <c r="S5">
        <f>IF($P$1=R5,5,0)</f>
        <v>0</v>
      </c>
      <c r="W5">
        <f>SUM(W1:W4)</f>
        <v>0</v>
      </c>
    </row>
    <row r="6" spans="1:23">
      <c r="A6" t="s">
        <v>67</v>
      </c>
      <c r="D6" s="11">
        <f>'IMPACTS RIOGA'!O15</f>
        <v>0</v>
      </c>
      <c r="E6" t="e">
        <f>ROUND(D6-(RIOGA-E5),0)</f>
        <v>#DIV/0!</v>
      </c>
      <c r="R6" t="s">
        <v>176</v>
      </c>
      <c r="S6">
        <f>IF($P$1=R6,6,0)</f>
        <v>0</v>
      </c>
    </row>
    <row r="7" spans="1:23">
      <c r="A7" t="s">
        <v>68</v>
      </c>
      <c r="D7" s="90" cm="1">
        <f t="array" ref="D7:F7">'IMPACTS RIOGA'!O19:Q19</f>
        <v>0</v>
      </c>
      <c r="E7">
        <v>0</v>
      </c>
      <c r="F7">
        <v>0</v>
      </c>
      <c r="S7">
        <f>SUM(S1:S6)</f>
        <v>0</v>
      </c>
    </row>
    <row r="8" spans="1:23">
      <c r="A8" t="s">
        <v>80</v>
      </c>
      <c r="D8" s="27" t="str">
        <f>IF('IMPACTS RIOGA'!O21="OUI","VRAI","FAUX")</f>
        <v>FAUX</v>
      </c>
    </row>
    <row r="9" spans="1:23" ht="18.75">
      <c r="A9" s="3" t="s">
        <v>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23" ht="15.75" thickBot="1"/>
    <row r="11" spans="1:23" ht="15.75" thickBot="1">
      <c r="A11" t="s">
        <v>0</v>
      </c>
      <c r="B11" s="9">
        <v>46368</v>
      </c>
    </row>
    <row r="13" spans="1:23">
      <c r="A13" s="4">
        <v>0.4</v>
      </c>
      <c r="B13">
        <f t="shared" ref="B13:B18" si="0">ROUND(PASS*A13,0)</f>
        <v>18547</v>
      </c>
    </row>
    <row r="14" spans="1:23">
      <c r="A14" s="4">
        <v>0.6</v>
      </c>
      <c r="B14">
        <f t="shared" si="0"/>
        <v>27821</v>
      </c>
    </row>
    <row r="15" spans="1:23">
      <c r="A15" s="4">
        <v>1.1000000000000001</v>
      </c>
      <c r="B15">
        <f t="shared" si="0"/>
        <v>51005</v>
      </c>
    </row>
    <row r="16" spans="1:23">
      <c r="A16" s="4">
        <v>1.4</v>
      </c>
      <c r="B16">
        <f t="shared" si="0"/>
        <v>64915</v>
      </c>
    </row>
    <row r="17" spans="1:14">
      <c r="A17" s="4">
        <v>3</v>
      </c>
      <c r="B17">
        <f t="shared" si="0"/>
        <v>139104</v>
      </c>
    </row>
    <row r="18" spans="1:14">
      <c r="A18" s="4">
        <v>5</v>
      </c>
      <c r="B18">
        <f t="shared" si="0"/>
        <v>231840</v>
      </c>
    </row>
    <row r="22" spans="1:14" s="5" customFormat="1" ht="21">
      <c r="A22" s="5" t="s">
        <v>1</v>
      </c>
    </row>
    <row r="23" spans="1:14">
      <c r="A23" s="93" t="s">
        <v>25</v>
      </c>
      <c r="B23" s="93"/>
      <c r="C23" s="93"/>
      <c r="D23" s="93"/>
      <c r="E23" s="93"/>
      <c r="F23" s="93"/>
      <c r="G23" s="93"/>
      <c r="H23" s="93"/>
    </row>
    <row r="24" spans="1:14">
      <c r="A24" s="7" t="s">
        <v>4</v>
      </c>
      <c r="F24" t="s">
        <v>14</v>
      </c>
      <c r="G24" t="s">
        <v>15</v>
      </c>
      <c r="J24" s="7" t="s">
        <v>4</v>
      </c>
    </row>
    <row r="25" spans="1:14">
      <c r="A25" s="8" t="s">
        <v>6</v>
      </c>
      <c r="B25" s="8" t="s">
        <v>7</v>
      </c>
      <c r="F25" s="4">
        <v>0.04</v>
      </c>
      <c r="G25" s="6">
        <v>6.5000000000000002E-2</v>
      </c>
      <c r="J25" t="str">
        <f>A25</f>
        <v>R min</v>
      </c>
      <c r="K25" t="str">
        <f>B25</f>
        <v>R max</v>
      </c>
    </row>
    <row r="26" spans="1:14">
      <c r="A26" s="1">
        <v>0</v>
      </c>
      <c r="B26">
        <f>PASS_040+1</f>
        <v>18548</v>
      </c>
      <c r="C26">
        <f>IF(REVENU&lt;B26,REVENU,0)</f>
        <v>0</v>
      </c>
      <c r="D26" s="4">
        <v>0</v>
      </c>
      <c r="E26" s="15">
        <f>IF(C26=0,0,D26)</f>
        <v>0</v>
      </c>
      <c r="J26">
        <f t="shared" ref="J26:J57" si="1">A26</f>
        <v>0</v>
      </c>
      <c r="K26">
        <f t="shared" ref="K26:K57" si="2">B26</f>
        <v>18548</v>
      </c>
      <c r="L26">
        <f>IF(REVENU_RIOGA&lt;K26,REVENU_RIOGA,0)</f>
        <v>0</v>
      </c>
      <c r="M26" s="15">
        <f>D26</f>
        <v>0</v>
      </c>
      <c r="N26" s="15">
        <f>IF(L26=0,0,M26)</f>
        <v>0</v>
      </c>
    </row>
    <row r="27" spans="1:14">
      <c r="A27" s="1">
        <f>PASS_040</f>
        <v>18547</v>
      </c>
      <c r="B27">
        <f>PASS_060+1</f>
        <v>27822</v>
      </c>
      <c r="C27">
        <f>IF(AND(REVENU&gt;A27,REVENU&lt;B27),REVENU,0)</f>
        <v>0</v>
      </c>
      <c r="D27" s="12">
        <f>($F$25/(PASS_060-PASS_040))*(REVENU-PASS_040)</f>
        <v>-7.9995686866508528E-2</v>
      </c>
      <c r="E27" s="15">
        <f t="shared" ref="E27:E29" si="3">IF(C27=0,0,D27)</f>
        <v>0</v>
      </c>
      <c r="J27">
        <f t="shared" si="1"/>
        <v>18547</v>
      </c>
      <c r="K27">
        <f t="shared" si="2"/>
        <v>27822</v>
      </c>
      <c r="L27">
        <f>IF(AND(REVENU_RIOGA&gt;J27,REVENU_RIOGA&lt;K27),REVENU_RIOGA,0)</f>
        <v>0</v>
      </c>
      <c r="M27" s="15">
        <f>(F25/(PASS_060-PASS_040))*(REVENU_RIOGA-PASS_040)</f>
        <v>-7.9995686866508528E-2</v>
      </c>
      <c r="N27" s="15">
        <f t="shared" ref="N27:N29" si="4">IF(L27=0,0,M27)</f>
        <v>0</v>
      </c>
    </row>
    <row r="28" spans="1:14">
      <c r="A28" s="1">
        <f>PASS_060</f>
        <v>27821</v>
      </c>
      <c r="B28">
        <f>PASS_110+1</f>
        <v>51006</v>
      </c>
      <c r="C28">
        <f>IF(AND(REVENU&gt;A28,REVENU&lt;B28),REVENU,0)</f>
        <v>0</v>
      </c>
      <c r="D28" s="6">
        <f>((($G$25-$F$25)/(PASS_110-PASS_060))*(REVENU-PASS_060))+$F$25</f>
        <v>9.9997843340234628E-3</v>
      </c>
      <c r="E28" s="15">
        <f t="shared" si="3"/>
        <v>0</v>
      </c>
      <c r="J28">
        <f t="shared" si="1"/>
        <v>27821</v>
      </c>
      <c r="K28">
        <f t="shared" si="2"/>
        <v>51006</v>
      </c>
      <c r="L28">
        <f>IF(AND(REVENU_RIOGA&gt;J28,REVENU_RIOGA&lt;K28),REVENU_RIOGA,0)</f>
        <v>0</v>
      </c>
      <c r="M28" s="15">
        <f>(((G25-F25)/(PASS_110-PASS_060))*(REVENU_RIOGA-PASS_060))+F25</f>
        <v>9.9997843340234628E-3</v>
      </c>
      <c r="N28" s="15">
        <f t="shared" si="4"/>
        <v>0</v>
      </c>
    </row>
    <row r="29" spans="1:14">
      <c r="A29" s="1">
        <f>PASS_110</f>
        <v>51005</v>
      </c>
      <c r="C29">
        <f>IF(REVENU&gt;A29,REVENU,0)</f>
        <v>0</v>
      </c>
      <c r="D29" s="13">
        <f>$G$25</f>
        <v>6.5000000000000002E-2</v>
      </c>
      <c r="E29" s="15">
        <f t="shared" si="3"/>
        <v>0</v>
      </c>
      <c r="J29">
        <f t="shared" si="1"/>
        <v>51005</v>
      </c>
      <c r="K29">
        <f t="shared" si="2"/>
        <v>0</v>
      </c>
      <c r="L29">
        <f>IF(REVENU_RIOGA&gt;J29,REVENU_RIOGA,0)</f>
        <v>0</v>
      </c>
      <c r="M29" s="15">
        <f>G25</f>
        <v>6.5000000000000002E-2</v>
      </c>
      <c r="N29" s="15">
        <f t="shared" si="4"/>
        <v>0</v>
      </c>
    </row>
    <row r="30" spans="1:14">
      <c r="E30" s="16">
        <f>SUM(E26:E29)</f>
        <v>0</v>
      </c>
      <c r="J30">
        <f t="shared" si="1"/>
        <v>0</v>
      </c>
      <c r="K30">
        <f t="shared" si="2"/>
        <v>0</v>
      </c>
      <c r="N30" s="16">
        <f>SUM(N26:N29)</f>
        <v>0</v>
      </c>
    </row>
    <row r="31" spans="1:14">
      <c r="A31" s="7" t="s">
        <v>5</v>
      </c>
      <c r="J31" s="7" t="s">
        <v>5</v>
      </c>
    </row>
    <row r="32" spans="1:14">
      <c r="A32" s="8" t="s">
        <v>6</v>
      </c>
      <c r="B32" s="8" t="s">
        <v>7</v>
      </c>
      <c r="J32" t="str">
        <f t="shared" si="1"/>
        <v>R min</v>
      </c>
      <c r="K32" t="str">
        <f t="shared" si="2"/>
        <v>R max</v>
      </c>
    </row>
    <row r="33" spans="1:15">
      <c r="A33">
        <v>0</v>
      </c>
      <c r="B33">
        <f>PASS_040+1</f>
        <v>18548</v>
      </c>
      <c r="C33">
        <f>IF(REVENU&lt;B33,PASS_040,0)</f>
        <v>18547</v>
      </c>
      <c r="D33" s="6">
        <v>3.0000000000000001E-3</v>
      </c>
      <c r="E33" s="15">
        <f>IF(C33=0,0,D33)</f>
        <v>3.0000000000000001E-3</v>
      </c>
      <c r="F33" s="10" t="s">
        <v>9</v>
      </c>
      <c r="J33">
        <f t="shared" si="1"/>
        <v>0</v>
      </c>
      <c r="K33">
        <f t="shared" si="2"/>
        <v>18548</v>
      </c>
      <c r="L33">
        <f>IF(REVENU_RIOGA&lt;K33,PASS_040,0)</f>
        <v>18547</v>
      </c>
      <c r="M33" s="6">
        <v>3.0000000000000001E-3</v>
      </c>
      <c r="N33" s="15">
        <f>IF(L33=0,0,M33)</f>
        <v>3.0000000000000001E-3</v>
      </c>
      <c r="O33" s="10" t="s">
        <v>9</v>
      </c>
    </row>
    <row r="34" spans="1:15">
      <c r="A34">
        <f>PASS_040</f>
        <v>18547</v>
      </c>
      <c r="B34">
        <f>PASS_300+1</f>
        <v>139105</v>
      </c>
      <c r="C34">
        <f>IF(AND(REVENU&lt;B34,REVENU&gt;A34),REVENU,0)</f>
        <v>0</v>
      </c>
      <c r="D34" s="6">
        <v>3.0000000000000001E-3</v>
      </c>
      <c r="E34" s="15">
        <f t="shared" ref="E34:E35" si="5">IF(C34=0,0,D34)</f>
        <v>0</v>
      </c>
      <c r="J34">
        <f t="shared" si="1"/>
        <v>18547</v>
      </c>
      <c r="K34">
        <f t="shared" si="2"/>
        <v>139105</v>
      </c>
      <c r="L34">
        <f>IF(AND(REVENU_RIOGA&lt;K34,REVENU_RIOGA&gt;J34),REVENU_RIOGA,0)</f>
        <v>0</v>
      </c>
      <c r="M34" s="6">
        <v>3.0000000000000001E-3</v>
      </c>
      <c r="N34" s="15">
        <f t="shared" ref="N34:N35" si="6">IF(L34=0,0,M34)</f>
        <v>0</v>
      </c>
    </row>
    <row r="35" spans="1:15">
      <c r="A35">
        <f>PASS_300</f>
        <v>139104</v>
      </c>
      <c r="C35">
        <f>IF(REVENU&gt;PASS_300,PASS_300,0)</f>
        <v>0</v>
      </c>
      <c r="D35" s="6">
        <v>3.0000000000000001E-3</v>
      </c>
      <c r="E35" s="15">
        <f t="shared" si="5"/>
        <v>0</v>
      </c>
      <c r="F35" s="10" t="s">
        <v>8</v>
      </c>
      <c r="J35">
        <f t="shared" si="1"/>
        <v>139104</v>
      </c>
      <c r="K35">
        <f t="shared" si="2"/>
        <v>0</v>
      </c>
      <c r="L35">
        <f>IF(REVENU_RIOGA&gt;PASS_300,PASS_300,0)</f>
        <v>0</v>
      </c>
      <c r="M35" s="6">
        <v>3.0000000000000001E-3</v>
      </c>
      <c r="N35" s="15">
        <f t="shared" si="6"/>
        <v>0</v>
      </c>
      <c r="O35" s="10" t="s">
        <v>8</v>
      </c>
    </row>
    <row r="36" spans="1:15">
      <c r="C36">
        <f>SUM(C33:C35)</f>
        <v>18547</v>
      </c>
      <c r="E36" s="16">
        <f>SUM(E33:E35)</f>
        <v>3.0000000000000001E-3</v>
      </c>
      <c r="J36">
        <f t="shared" si="1"/>
        <v>0</v>
      </c>
      <c r="K36">
        <f t="shared" si="2"/>
        <v>0</v>
      </c>
      <c r="L36">
        <f>SUM(L33:L35)</f>
        <v>18547</v>
      </c>
      <c r="N36" s="16">
        <f>SUM(N33:N35)</f>
        <v>3.0000000000000001E-3</v>
      </c>
    </row>
    <row r="37" spans="1:15">
      <c r="A37" s="7" t="s">
        <v>10</v>
      </c>
      <c r="J37" s="7" t="s">
        <v>10</v>
      </c>
      <c r="K37">
        <f t="shared" si="2"/>
        <v>0</v>
      </c>
    </row>
    <row r="38" spans="1:15">
      <c r="A38" s="8" t="s">
        <v>6</v>
      </c>
      <c r="B38" s="8" t="s">
        <v>7</v>
      </c>
      <c r="J38" t="str">
        <f t="shared" si="1"/>
        <v>R min</v>
      </c>
      <c r="K38" t="str">
        <f t="shared" si="2"/>
        <v>R max</v>
      </c>
    </row>
    <row r="39" spans="1:15">
      <c r="A39">
        <v>0</v>
      </c>
      <c r="B39">
        <f>PASS_110+1</f>
        <v>51006</v>
      </c>
      <c r="C39">
        <f>IF(REVENU&lt;B39,REVENU,0)</f>
        <v>0</v>
      </c>
      <c r="D39" s="4">
        <v>0</v>
      </c>
      <c r="E39" s="15">
        <f>IF(C39=0,0,D39)</f>
        <v>0</v>
      </c>
      <c r="J39">
        <f t="shared" si="1"/>
        <v>0</v>
      </c>
      <c r="K39">
        <f t="shared" si="2"/>
        <v>51006</v>
      </c>
      <c r="L39">
        <f>IF(REVENU_RIOGA&lt;K39,REVENU_RIOGA,0)</f>
        <v>0</v>
      </c>
      <c r="M39" s="4">
        <v>0</v>
      </c>
      <c r="N39" s="15">
        <f>IF(L39=0,0,M39)</f>
        <v>0</v>
      </c>
    </row>
    <row r="40" spans="1:15">
      <c r="A40">
        <f>PASS_110</f>
        <v>51005</v>
      </c>
      <c r="B40">
        <f>PASS_140+1</f>
        <v>64916</v>
      </c>
      <c r="C40">
        <f>IF(AND(REVENU&lt;B40,REVENU&gt;A40),REVENU,0)</f>
        <v>0</v>
      </c>
      <c r="D40" s="6">
        <f>D41/(PASS_140-PASS_110)*(D2-PASS_110)</f>
        <v>-0.11367038102084831</v>
      </c>
      <c r="E40" s="15">
        <f t="shared" ref="E40:E41" si="7">IF(C40=0,0,D40)</f>
        <v>0</v>
      </c>
      <c r="J40">
        <f t="shared" si="1"/>
        <v>51005</v>
      </c>
      <c r="K40">
        <f t="shared" si="2"/>
        <v>64916</v>
      </c>
      <c r="L40">
        <f>IF(AND(REVENU_RIOGA&lt;K40,REVENU_RIOGA&gt;J40),REVENU_RIOGA,0)</f>
        <v>0</v>
      </c>
      <c r="M40" s="6">
        <f>M41/(PASS_140-PASS_110)*(REVENU_RIOGA-PASS_110)</f>
        <v>-0.11367038102084831</v>
      </c>
      <c r="N40" s="15">
        <f t="shared" ref="N40:N41" si="8">IF(L40=0,0,M40)</f>
        <v>0</v>
      </c>
    </row>
    <row r="41" spans="1:15">
      <c r="A41">
        <f>PASS_140</f>
        <v>64915</v>
      </c>
      <c r="C41">
        <f>IF(REVENU&gt;A41,REVENU,0)</f>
        <v>0</v>
      </c>
      <c r="D41" s="6">
        <v>3.1E-2</v>
      </c>
      <c r="E41" s="15">
        <f t="shared" si="7"/>
        <v>0</v>
      </c>
      <c r="J41">
        <f t="shared" si="1"/>
        <v>64915</v>
      </c>
      <c r="K41">
        <f t="shared" si="2"/>
        <v>0</v>
      </c>
      <c r="L41">
        <f>IF(REVENU_RIOGA&gt;J41,REVENU_RIOGA,0)</f>
        <v>0</v>
      </c>
      <c r="M41" s="6">
        <v>3.1E-2</v>
      </c>
      <c r="N41" s="15">
        <f t="shared" si="8"/>
        <v>0</v>
      </c>
    </row>
    <row r="42" spans="1:15">
      <c r="E42" s="16">
        <f>SUM(E39:E41)</f>
        <v>0</v>
      </c>
      <c r="J42">
        <f t="shared" si="1"/>
        <v>0</v>
      </c>
      <c r="K42">
        <f t="shared" si="2"/>
        <v>0</v>
      </c>
      <c r="N42" s="16">
        <f>SUM(N39:N41)</f>
        <v>0</v>
      </c>
    </row>
    <row r="43" spans="1:15">
      <c r="A43" s="7" t="s">
        <v>11</v>
      </c>
      <c r="D43" s="6">
        <v>9.7000000000000003E-2</v>
      </c>
      <c r="J43" t="str">
        <f t="shared" si="1"/>
        <v>CSG-CRDS</v>
      </c>
      <c r="K43">
        <f t="shared" si="2"/>
        <v>0</v>
      </c>
    </row>
    <row r="44" spans="1:15">
      <c r="J44">
        <f t="shared" si="1"/>
        <v>0</v>
      </c>
      <c r="K44">
        <f t="shared" si="2"/>
        <v>0</v>
      </c>
    </row>
    <row r="45" spans="1:15">
      <c r="A45" s="7" t="s">
        <v>12</v>
      </c>
      <c r="D45" s="6">
        <v>2.5000000000000001E-3</v>
      </c>
      <c r="J45" t="str">
        <f t="shared" si="1"/>
        <v>CFP</v>
      </c>
      <c r="K45">
        <f t="shared" si="2"/>
        <v>0</v>
      </c>
    </row>
    <row r="46" spans="1:15">
      <c r="J46">
        <f t="shared" si="1"/>
        <v>0</v>
      </c>
      <c r="K46">
        <f t="shared" si="2"/>
        <v>0</v>
      </c>
    </row>
    <row r="47" spans="1:15">
      <c r="A47" s="7" t="s">
        <v>13</v>
      </c>
      <c r="J47" t="str">
        <f t="shared" si="1"/>
        <v>RETRAITE DE BASE 1</v>
      </c>
      <c r="K47">
        <f t="shared" si="2"/>
        <v>0</v>
      </c>
    </row>
    <row r="48" spans="1:15">
      <c r="A48" s="8" t="s">
        <v>6</v>
      </c>
      <c r="B48" s="8" t="s">
        <v>7</v>
      </c>
      <c r="J48" t="str">
        <f t="shared" si="1"/>
        <v>R min</v>
      </c>
      <c r="K48" t="str">
        <f t="shared" si="2"/>
        <v>R max</v>
      </c>
    </row>
    <row r="49" spans="1:15" ht="15.75" thickBot="1">
      <c r="A49">
        <v>0</v>
      </c>
      <c r="B49">
        <f>A50+1</f>
        <v>5244</v>
      </c>
      <c r="C49">
        <f>IF(REVENU&lt;B49,A50,0)</f>
        <v>5243</v>
      </c>
      <c r="D49" s="6">
        <v>8.2299999999999998E-2</v>
      </c>
      <c r="E49">
        <f>IF(C49=0,0,D49)</f>
        <v>8.2299999999999998E-2</v>
      </c>
      <c r="F49" s="10" t="s">
        <v>9</v>
      </c>
      <c r="J49">
        <f t="shared" si="1"/>
        <v>0</v>
      </c>
      <c r="K49">
        <f t="shared" si="2"/>
        <v>5244</v>
      </c>
      <c r="L49">
        <f>IF(REVENU_RIOGA&lt;K49,J50,0)</f>
        <v>5243</v>
      </c>
      <c r="M49" s="6">
        <v>8.2299999999999998E-2</v>
      </c>
      <c r="N49">
        <f>IF(L49=0,0,M49)</f>
        <v>8.2299999999999998E-2</v>
      </c>
      <c r="O49" s="10" t="s">
        <v>9</v>
      </c>
    </row>
    <row r="50" spans="1:15" ht="15.75" thickBot="1">
      <c r="A50" s="9">
        <v>5243</v>
      </c>
      <c r="B50">
        <f>PASS+1</f>
        <v>46369</v>
      </c>
      <c r="C50">
        <f>IF(AND(REVENU&lt;B50,REVENU&gt;A50),REVENU,0)</f>
        <v>0</v>
      </c>
      <c r="D50" s="6">
        <v>8.2299999999999998E-2</v>
      </c>
      <c r="E50">
        <f t="shared" ref="E50:E51" si="9">IF(C50=0,0,D50)</f>
        <v>0</v>
      </c>
      <c r="J50">
        <f t="shared" si="1"/>
        <v>5243</v>
      </c>
      <c r="K50">
        <f t="shared" si="2"/>
        <v>46369</v>
      </c>
      <c r="L50">
        <f>IF(AND(REVENU_RIOGA&lt;K50,REVENU_RIOGA&gt;J50),REVENU_RIOGA,0)</f>
        <v>0</v>
      </c>
      <c r="M50" s="6">
        <v>8.2299999999999998E-2</v>
      </c>
      <c r="N50">
        <f t="shared" ref="N50:N51" si="10">IF(L50=0,0,M50)</f>
        <v>0</v>
      </c>
    </row>
    <row r="51" spans="1:15">
      <c r="A51">
        <f>PASS</f>
        <v>46368</v>
      </c>
      <c r="C51">
        <f>IF(REVENU&gt;A51,PASS,0)</f>
        <v>0</v>
      </c>
      <c r="D51" s="6">
        <v>8.2299999999999998E-2</v>
      </c>
      <c r="E51">
        <f t="shared" si="9"/>
        <v>0</v>
      </c>
      <c r="F51" s="10" t="s">
        <v>8</v>
      </c>
      <c r="J51">
        <f t="shared" si="1"/>
        <v>46368</v>
      </c>
      <c r="K51">
        <f t="shared" si="2"/>
        <v>0</v>
      </c>
      <c r="L51">
        <f>IF(REVENU_RIOGA&gt;J51,PASS,0)</f>
        <v>0</v>
      </c>
      <c r="M51" s="6">
        <v>8.2299999999999998E-2</v>
      </c>
      <c r="N51">
        <f t="shared" si="10"/>
        <v>0</v>
      </c>
      <c r="O51" s="10" t="s">
        <v>8</v>
      </c>
    </row>
    <row r="52" spans="1:15">
      <c r="C52">
        <f>SUM(C49:C51)</f>
        <v>5243</v>
      </c>
      <c r="E52" s="15">
        <f>SUM(E49:E51)</f>
        <v>8.2299999999999998E-2</v>
      </c>
      <c r="J52">
        <f t="shared" si="1"/>
        <v>0</v>
      </c>
      <c r="K52">
        <f t="shared" si="2"/>
        <v>0</v>
      </c>
      <c r="L52">
        <f>SUM(L49:L51)</f>
        <v>5243</v>
      </c>
      <c r="N52" s="15">
        <f>SUM(N49:N51)</f>
        <v>8.2299999999999998E-2</v>
      </c>
    </row>
    <row r="53" spans="1:15">
      <c r="A53" s="7" t="s">
        <v>26</v>
      </c>
      <c r="J53" t="str">
        <f t="shared" si="1"/>
        <v>RETRAITE DE BASE 2</v>
      </c>
      <c r="K53">
        <f t="shared" si="2"/>
        <v>0</v>
      </c>
    </row>
    <row r="54" spans="1:15">
      <c r="A54" s="8" t="s">
        <v>6</v>
      </c>
      <c r="B54" s="8" t="s">
        <v>7</v>
      </c>
      <c r="J54" t="str">
        <f t="shared" si="1"/>
        <v>R min</v>
      </c>
      <c r="K54" t="str">
        <f t="shared" si="2"/>
        <v>R max</v>
      </c>
    </row>
    <row r="55" spans="1:15">
      <c r="A55">
        <v>0</v>
      </c>
      <c r="B55">
        <f>B49</f>
        <v>5244</v>
      </c>
      <c r="C55">
        <f>IF(REVENU&lt;B55,A56,0)</f>
        <v>5243</v>
      </c>
      <c r="D55" s="6">
        <v>1.8700000000000001E-2</v>
      </c>
      <c r="E55">
        <f>IF(C55=0,0,D55)</f>
        <v>1.8700000000000001E-2</v>
      </c>
      <c r="F55" s="10" t="s">
        <v>9</v>
      </c>
      <c r="J55">
        <f t="shared" si="1"/>
        <v>0</v>
      </c>
      <c r="K55">
        <f t="shared" si="2"/>
        <v>5244</v>
      </c>
      <c r="L55">
        <f>IF(REVENU_RIOGA&lt;K55,J56,0)</f>
        <v>5243</v>
      </c>
      <c r="M55" s="6">
        <v>1.8700000000000001E-2</v>
      </c>
      <c r="N55">
        <f>IF(L55=0,0,M55)</f>
        <v>1.8700000000000001E-2</v>
      </c>
      <c r="O55" s="10" t="s">
        <v>9</v>
      </c>
    </row>
    <row r="56" spans="1:15">
      <c r="A56">
        <f>A50</f>
        <v>5243</v>
      </c>
      <c r="B56">
        <f>PASS_500+1</f>
        <v>231841</v>
      </c>
      <c r="C56">
        <f>IF(AND(REVENU&lt;B56,REVENU&gt;A56),REVENU,0)</f>
        <v>0</v>
      </c>
      <c r="D56" s="6">
        <v>1.8700000000000001E-2</v>
      </c>
      <c r="E56">
        <f t="shared" ref="E56:E57" si="11">IF(C56=0,0,D56)</f>
        <v>0</v>
      </c>
      <c r="J56">
        <f t="shared" si="1"/>
        <v>5243</v>
      </c>
      <c r="K56">
        <f t="shared" si="2"/>
        <v>231841</v>
      </c>
      <c r="L56">
        <f>IF(AND(REVENU_RIOGA&lt;K56,REVENU_RIOGA&gt;J56),REVENU_RIOGA,0)</f>
        <v>0</v>
      </c>
      <c r="M56" s="6">
        <v>1.8700000000000001E-2</v>
      </c>
      <c r="N56">
        <f t="shared" ref="N56:N57" si="12">IF(L56=0,0,M56)</f>
        <v>0</v>
      </c>
    </row>
    <row r="57" spans="1:15">
      <c r="A57">
        <f>PASS_500</f>
        <v>231840</v>
      </c>
      <c r="C57">
        <f>IF(REVENU&gt;A57,PASS_500,0)</f>
        <v>0</v>
      </c>
      <c r="D57" s="6">
        <v>1.8700000000000001E-2</v>
      </c>
      <c r="E57">
        <f t="shared" si="11"/>
        <v>0</v>
      </c>
      <c r="F57" s="10" t="s">
        <v>8</v>
      </c>
      <c r="J57">
        <f t="shared" si="1"/>
        <v>231840</v>
      </c>
      <c r="K57">
        <f t="shared" si="2"/>
        <v>0</v>
      </c>
      <c r="L57">
        <f>IF(REVENU_RIOGA&gt;J57,PASS_500,0)</f>
        <v>0</v>
      </c>
      <c r="M57" s="6">
        <v>1.8700000000000001E-2</v>
      </c>
      <c r="N57">
        <f t="shared" si="12"/>
        <v>0</v>
      </c>
      <c r="O57" s="10" t="s">
        <v>8</v>
      </c>
    </row>
    <row r="58" spans="1:15">
      <c r="C58">
        <f>SUM(C55:C57)</f>
        <v>5243</v>
      </c>
      <c r="E58" s="15">
        <f>SUM(E55:E57)</f>
        <v>1.8700000000000001E-2</v>
      </c>
      <c r="L58">
        <f>SUM(L55:L57)</f>
        <v>5243</v>
      </c>
      <c r="N58" s="15">
        <f>SUM(N55:N57)</f>
        <v>1.8700000000000001E-2</v>
      </c>
    </row>
    <row r="59" spans="1:15" s="5" customFormat="1" ht="21">
      <c r="A59" s="5" t="s">
        <v>16</v>
      </c>
    </row>
    <row r="60" spans="1:15" s="14" customFormat="1" ht="21"/>
    <row r="61" spans="1:15" s="14" customFormat="1" ht="21">
      <c r="A61" s="14" t="s">
        <v>29</v>
      </c>
    </row>
    <row r="63" spans="1:15">
      <c r="A63" s="7" t="s">
        <v>17</v>
      </c>
      <c r="J63" s="7" t="s">
        <v>17</v>
      </c>
    </row>
    <row r="64" spans="1:15">
      <c r="A64" s="8" t="s">
        <v>6</v>
      </c>
      <c r="B64" s="8" t="s">
        <v>7</v>
      </c>
      <c r="J64" s="8" t="s">
        <v>6</v>
      </c>
      <c r="K64" s="8" t="s">
        <v>7</v>
      </c>
    </row>
    <row r="65" spans="1:14">
      <c r="B65">
        <f>ROUND(PASS*3.5+1,0)</f>
        <v>162289</v>
      </c>
      <c r="C65">
        <f>IF(REVENU&lt;1,0,IF(REVENU&lt;A66,REVENU,0))</f>
        <v>0</v>
      </c>
      <c r="D65" s="4">
        <v>0.10199999999999999</v>
      </c>
      <c r="K65">
        <f>ROUND(PASS*3.5+1,0)</f>
        <v>162289</v>
      </c>
      <c r="L65">
        <f>IF(REVENU_RIOGA&lt;1,0,IF(REVENU_RIOGA&lt;J66,REVENU_RIOGA,0))</f>
        <v>0</v>
      </c>
      <c r="M65" s="4">
        <f>D65</f>
        <v>0.10199999999999999</v>
      </c>
    </row>
    <row r="66" spans="1:14">
      <c r="A66">
        <f>B65-1</f>
        <v>162288</v>
      </c>
      <c r="C66">
        <f>IF(REVENU&gt;A66,A66,0)</f>
        <v>0</v>
      </c>
      <c r="D66" s="4">
        <f>D65</f>
        <v>0.10199999999999999</v>
      </c>
      <c r="J66">
        <f>K65-1</f>
        <v>162288</v>
      </c>
      <c r="L66">
        <f>IF(REVENU_RIOGA&gt;J66,J66,0)</f>
        <v>0</v>
      </c>
      <c r="M66" s="4">
        <f>M65</f>
        <v>0.10199999999999999</v>
      </c>
    </row>
    <row r="67" spans="1:14">
      <c r="C67">
        <f>SUM(C65:C66)</f>
        <v>0</v>
      </c>
      <c r="L67">
        <f>SUM(L65:L66)</f>
        <v>0</v>
      </c>
    </row>
    <row r="68" spans="1:14">
      <c r="A68" s="7" t="s">
        <v>31</v>
      </c>
      <c r="J68" s="7" t="s">
        <v>31</v>
      </c>
    </row>
    <row r="69" spans="1:14">
      <c r="A69" s="8" t="s">
        <v>6</v>
      </c>
      <c r="B69" s="8" t="s">
        <v>7</v>
      </c>
      <c r="J69" s="8" t="s">
        <v>6</v>
      </c>
      <c r="K69" s="8" t="s">
        <v>7</v>
      </c>
    </row>
    <row r="70" spans="1:14">
      <c r="A70">
        <v>0</v>
      </c>
      <c r="B70">
        <f>PASS+1</f>
        <v>46369</v>
      </c>
      <c r="C70">
        <f>IF(REVENU&lt;A71,1,0)</f>
        <v>1</v>
      </c>
      <c r="D70">
        <v>631</v>
      </c>
      <c r="E70">
        <f>C70*D70</f>
        <v>631</v>
      </c>
      <c r="J70">
        <v>0</v>
      </c>
      <c r="K70">
        <f>PASS+1</f>
        <v>46369</v>
      </c>
      <c r="L70">
        <f>IF(REVENU_RIOGA&lt;J71,1,0)</f>
        <v>1</v>
      </c>
      <c r="M70">
        <v>631</v>
      </c>
      <c r="N70">
        <f>L70*M70</f>
        <v>631</v>
      </c>
    </row>
    <row r="71" spans="1:14">
      <c r="A71">
        <f>PASS</f>
        <v>46368</v>
      </c>
      <c r="B71">
        <f>PASS_300+1</f>
        <v>139105</v>
      </c>
      <c r="C71">
        <f>IF(AND(REVENU&lt;B71,REVENU&gt;A71),1,0)</f>
        <v>0</v>
      </c>
      <c r="D71">
        <v>712</v>
      </c>
      <c r="E71">
        <f t="shared" ref="E71:E72" si="13">C71*D71</f>
        <v>0</v>
      </c>
      <c r="J71">
        <f>PASS</f>
        <v>46368</v>
      </c>
      <c r="K71">
        <f>PASS_300+1</f>
        <v>139105</v>
      </c>
      <c r="L71">
        <f>IF(AND(REVENU_RIOGA&lt;K71,REVENU_RIOGA&gt;J71),1,0)</f>
        <v>0</v>
      </c>
      <c r="M71">
        <v>712</v>
      </c>
      <c r="N71">
        <f t="shared" ref="N71:N72" si="14">L71*M71</f>
        <v>0</v>
      </c>
    </row>
    <row r="72" spans="1:14">
      <c r="A72">
        <f>PASS_300</f>
        <v>139104</v>
      </c>
      <c r="C72">
        <f>IF(REVENU&gt;A72,1,0)</f>
        <v>0</v>
      </c>
      <c r="D72">
        <v>828</v>
      </c>
      <c r="E72">
        <f t="shared" si="13"/>
        <v>0</v>
      </c>
      <c r="J72">
        <f>PASS_300</f>
        <v>139104</v>
      </c>
      <c r="L72">
        <f>IF(REVENU_RIOGA&gt;J72,1,0)</f>
        <v>0</v>
      </c>
      <c r="M72">
        <v>828</v>
      </c>
      <c r="N72">
        <f t="shared" si="14"/>
        <v>0</v>
      </c>
    </row>
    <row r="73" spans="1:14">
      <c r="E73">
        <f>SUM(E70:E72)</f>
        <v>631</v>
      </c>
      <c r="N73">
        <f>SUM(N70:N72)</f>
        <v>631</v>
      </c>
    </row>
    <row r="74" spans="1:14">
      <c r="A74" s="7" t="s">
        <v>33</v>
      </c>
    </row>
    <row r="75" spans="1:14">
      <c r="A75" t="s">
        <v>35</v>
      </c>
      <c r="B75">
        <v>5421</v>
      </c>
    </row>
    <row r="76" spans="1:14">
      <c r="A76" t="s">
        <v>22</v>
      </c>
      <c r="B76">
        <v>3614</v>
      </c>
    </row>
    <row r="78" spans="1:14">
      <c r="A78" t="s">
        <v>36</v>
      </c>
      <c r="J78" t="s">
        <v>36</v>
      </c>
    </row>
    <row r="79" spans="1:14">
      <c r="A79">
        <v>0</v>
      </c>
      <c r="B79">
        <f>PASS_500+1</f>
        <v>231841</v>
      </c>
      <c r="C79">
        <f>IF(REVENU&lt;1,0,IF(REVENU&lt;B79,REVENU,0))</f>
        <v>0</v>
      </c>
      <c r="D79" s="6">
        <v>3.7999999999999999E-2</v>
      </c>
      <c r="E79">
        <f>IF(C79=0,0,D79)</f>
        <v>0</v>
      </c>
      <c r="J79">
        <v>0</v>
      </c>
      <c r="K79">
        <f>PASS_500+1</f>
        <v>231841</v>
      </c>
      <c r="L79">
        <f>IF(REVENU_RIOGA&lt;1,0,IF(REVENU_RIOGA&lt;K79,REVENU_RIOGA,0))</f>
        <v>0</v>
      </c>
      <c r="M79" s="6">
        <v>3.7999999999999999E-2</v>
      </c>
      <c r="N79">
        <f>IF(L79=0,0,M79)</f>
        <v>0</v>
      </c>
    </row>
    <row r="80" spans="1:14">
      <c r="A80">
        <f>PASS_500</f>
        <v>231840</v>
      </c>
      <c r="C80">
        <f>IF(REVENU&gt;A80,A80,0)</f>
        <v>0</v>
      </c>
      <c r="D80" s="6">
        <v>3.7999999999999999E-2</v>
      </c>
      <c r="E80">
        <f>IF(C80=0,0,D80)</f>
        <v>0</v>
      </c>
      <c r="J80">
        <f>PASS_500</f>
        <v>231840</v>
      </c>
      <c r="L80">
        <f>IF(REVENU_RIOGA&gt;J80,J80,0)</f>
        <v>0</v>
      </c>
      <c r="M80" s="6">
        <v>3.7999999999999999E-2</v>
      </c>
      <c r="N80">
        <f>IF(L80=0,0,M80)</f>
        <v>0</v>
      </c>
    </row>
    <row r="81" spans="1:14">
      <c r="C81">
        <f>SUM(C79:C80)</f>
        <v>0</v>
      </c>
      <c r="E81" s="15">
        <f>SUM(E79:E80)</f>
        <v>0</v>
      </c>
      <c r="L81">
        <f>SUM(L79:L80)</f>
        <v>0</v>
      </c>
      <c r="N81" s="15">
        <f>SUM(N79:N80)</f>
        <v>0</v>
      </c>
    </row>
    <row r="82" spans="1:14">
      <c r="A82" t="s">
        <v>38</v>
      </c>
      <c r="B82" s="6">
        <v>2.5333000000000001E-2</v>
      </c>
    </row>
    <row r="84" spans="1:14" ht="21">
      <c r="A84" s="14" t="s">
        <v>42</v>
      </c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6" spans="1:14">
      <c r="A86" s="7" t="s">
        <v>17</v>
      </c>
      <c r="J86" s="7" t="s">
        <v>17</v>
      </c>
    </row>
    <row r="87" spans="1:14">
      <c r="A87" t="s">
        <v>35</v>
      </c>
      <c r="B87">
        <v>1944</v>
      </c>
    </row>
    <row r="89" spans="1:14">
      <c r="A89" s="8" t="s">
        <v>6</v>
      </c>
      <c r="B89" s="8" t="s">
        <v>7</v>
      </c>
      <c r="J89" s="8" t="s">
        <v>6</v>
      </c>
      <c r="K89" s="8" t="s">
        <v>7</v>
      </c>
    </row>
    <row r="90" spans="1:14">
      <c r="A90">
        <v>0</v>
      </c>
      <c r="B90">
        <f>A91+1</f>
        <v>25247</v>
      </c>
      <c r="C90">
        <v>0</v>
      </c>
      <c r="D90" s="6">
        <v>0.03</v>
      </c>
      <c r="J90">
        <v>0</v>
      </c>
      <c r="K90">
        <f>J91+1</f>
        <v>25247</v>
      </c>
      <c r="L90">
        <v>0</v>
      </c>
      <c r="M90" s="6">
        <v>0.03</v>
      </c>
    </row>
    <row r="91" spans="1:14">
      <c r="A91">
        <v>25246</v>
      </c>
      <c r="B91">
        <f>A92+1</f>
        <v>203447</v>
      </c>
      <c r="C91">
        <f>IF(AND(REVENU&lt;B91,REVENU&gt;A91),REVENU-A91,0)</f>
        <v>0</v>
      </c>
      <c r="J91">
        <v>25246</v>
      </c>
      <c r="K91">
        <f>J92+1</f>
        <v>203447</v>
      </c>
      <c r="L91">
        <f>IF(AND(REVENU_RIOGA&lt;K91,REVENU_RIOGA&gt;J91),REVENU_RIOGA-J91,0)</f>
        <v>0</v>
      </c>
    </row>
    <row r="92" spans="1:14">
      <c r="A92">
        <v>203446</v>
      </c>
      <c r="C92">
        <f>IF(REVENU&gt;A92,A92-A91,0)</f>
        <v>0</v>
      </c>
      <c r="J92">
        <v>203446</v>
      </c>
      <c r="L92">
        <f>IF(REVENU_RIOGA&gt;J92,J92-J91,0)</f>
        <v>0</v>
      </c>
    </row>
    <row r="93" spans="1:14">
      <c r="C93">
        <f>SUM(C90:C92)</f>
        <v>0</v>
      </c>
      <c r="L93">
        <f>SUM(L90:L92)</f>
        <v>0</v>
      </c>
    </row>
    <row r="95" spans="1:14">
      <c r="A95" s="7" t="s">
        <v>31</v>
      </c>
      <c r="B95">
        <v>862</v>
      </c>
    </row>
    <row r="97" spans="1:14">
      <c r="A97" s="7" t="s">
        <v>33</v>
      </c>
      <c r="B97">
        <v>634</v>
      </c>
      <c r="C97" t="s">
        <v>22</v>
      </c>
      <c r="D97">
        <f>ROUND(B97*2/3,0)</f>
        <v>423</v>
      </c>
    </row>
    <row r="98" spans="1:14">
      <c r="A98" t="s">
        <v>35</v>
      </c>
      <c r="B98">
        <v>211</v>
      </c>
    </row>
    <row r="100" spans="1:14">
      <c r="A100" t="s">
        <v>36</v>
      </c>
      <c r="B100" s="6">
        <v>4.0000000000000001E-3</v>
      </c>
    </row>
    <row r="102" spans="1:14" ht="21">
      <c r="A102" s="14" t="s">
        <v>47</v>
      </c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</row>
    <row r="104" spans="1:14">
      <c r="A104" s="7" t="s">
        <v>17</v>
      </c>
      <c r="J104" s="7" t="s">
        <v>17</v>
      </c>
    </row>
    <row r="105" spans="1:14">
      <c r="A105" t="s">
        <v>35</v>
      </c>
      <c r="B105">
        <v>1944</v>
      </c>
    </row>
    <row r="107" spans="1:14">
      <c r="A107" s="8" t="s">
        <v>6</v>
      </c>
      <c r="B107" s="8" t="s">
        <v>7</v>
      </c>
      <c r="J107" s="8" t="s">
        <v>6</v>
      </c>
      <c r="K107" s="8" t="s">
        <v>7</v>
      </c>
    </row>
    <row r="108" spans="1:14">
      <c r="A108">
        <v>0</v>
      </c>
      <c r="B108">
        <v>16690</v>
      </c>
      <c r="C108">
        <f>IF(REVENU&lt;B108,1,0)</f>
        <v>1</v>
      </c>
      <c r="D108">
        <v>1141</v>
      </c>
      <c r="E108">
        <f>IF(C108&gt;0,D108,0)</f>
        <v>1141</v>
      </c>
      <c r="J108">
        <v>0</v>
      </c>
      <c r="K108">
        <v>16690</v>
      </c>
      <c r="L108">
        <f>IF(REVENU_RIOGA&lt;K108,1,0)</f>
        <v>1</v>
      </c>
      <c r="M108">
        <v>1141</v>
      </c>
      <c r="N108">
        <f>IF(L108&gt;0,M108,0)</f>
        <v>1141</v>
      </c>
    </row>
    <row r="109" spans="1:14">
      <c r="A109">
        <f>B108-1</f>
        <v>16689</v>
      </c>
      <c r="B109">
        <f>A110+1</f>
        <v>25035</v>
      </c>
      <c r="C109">
        <f>IF(AND(REVENU&lt;B109,REVENU&gt;A109),2,0)</f>
        <v>0</v>
      </c>
      <c r="D109">
        <v>1711</v>
      </c>
      <c r="E109">
        <f t="shared" ref="E109:E115" si="15">IF(C109&gt;0,D109,0)</f>
        <v>0</v>
      </c>
      <c r="J109">
        <f>K108-1</f>
        <v>16689</v>
      </c>
      <c r="K109">
        <f>J110+1</f>
        <v>25035</v>
      </c>
      <c r="L109">
        <f>IF(AND(REVENU_RIOGA&lt;K109,REVENU_RIOGA&gt;J109),2,0)</f>
        <v>0</v>
      </c>
      <c r="M109">
        <v>1711</v>
      </c>
      <c r="N109">
        <f t="shared" ref="N109:N115" si="16">IF(L109&gt;0,M109,0)</f>
        <v>0</v>
      </c>
    </row>
    <row r="110" spans="1:14">
      <c r="A110">
        <v>25034</v>
      </c>
      <c r="B110">
        <f t="shared" ref="B110:B114" si="17">A111+1</f>
        <v>33380</v>
      </c>
      <c r="C110">
        <f>IF(AND(REVENU&lt;B110,REVENU&gt;A110),3,0)</f>
        <v>0</v>
      </c>
      <c r="D110">
        <v>2281</v>
      </c>
      <c r="E110">
        <f t="shared" si="15"/>
        <v>0</v>
      </c>
      <c r="J110">
        <v>25034</v>
      </c>
      <c r="K110">
        <f t="shared" ref="K110:K114" si="18">J111+1</f>
        <v>33380</v>
      </c>
      <c r="L110">
        <f>IF(AND(REVENU_RIOGA&lt;K110,REVENU_RIOGA&gt;J110),3,0)</f>
        <v>0</v>
      </c>
      <c r="M110">
        <v>2281</v>
      </c>
      <c r="N110">
        <f t="shared" si="16"/>
        <v>0</v>
      </c>
    </row>
    <row r="111" spans="1:14">
      <c r="A111">
        <v>33379</v>
      </c>
      <c r="B111">
        <f t="shared" si="17"/>
        <v>46732</v>
      </c>
      <c r="C111">
        <f>IF(AND(REVENU&lt;B111,REVENU&gt;A111),4,0)</f>
        <v>0</v>
      </c>
      <c r="D111">
        <v>4562</v>
      </c>
      <c r="E111">
        <f t="shared" si="15"/>
        <v>0</v>
      </c>
      <c r="J111">
        <v>33379</v>
      </c>
      <c r="K111">
        <f t="shared" si="18"/>
        <v>46732</v>
      </c>
      <c r="L111">
        <f>IF(AND(REVENU_RIOGA&lt;K111,REVENU_RIOGA&gt;J111),4,0)</f>
        <v>0</v>
      </c>
      <c r="M111">
        <v>4562</v>
      </c>
      <c r="N111">
        <f t="shared" si="16"/>
        <v>0</v>
      </c>
    </row>
    <row r="112" spans="1:14">
      <c r="A112">
        <v>46731</v>
      </c>
      <c r="B112">
        <f t="shared" si="17"/>
        <v>50070</v>
      </c>
      <c r="C112">
        <f>IF(AND(REVENU&lt;B112,REVENU&gt;A112),5,0)</f>
        <v>0</v>
      </c>
      <c r="D112">
        <v>6843</v>
      </c>
      <c r="E112">
        <f t="shared" si="15"/>
        <v>0</v>
      </c>
      <c r="J112">
        <v>46731</v>
      </c>
      <c r="K112">
        <f t="shared" si="18"/>
        <v>50070</v>
      </c>
      <c r="L112">
        <f>IF(AND(REVENU_RIOGA&lt;K112,REVENU_RIOGA&gt;J112),5,0)</f>
        <v>0</v>
      </c>
      <c r="M112">
        <v>6843</v>
      </c>
      <c r="N112">
        <f t="shared" si="16"/>
        <v>0</v>
      </c>
    </row>
    <row r="113" spans="1:14">
      <c r="A113">
        <v>50069</v>
      </c>
      <c r="B113">
        <f t="shared" si="17"/>
        <v>75105</v>
      </c>
      <c r="C113">
        <f>IF(AND(REVENU&lt;B113,REVENU&gt;A113),6,0)</f>
        <v>0</v>
      </c>
      <c r="D113">
        <v>9124</v>
      </c>
      <c r="E113">
        <f t="shared" si="15"/>
        <v>0</v>
      </c>
      <c r="J113">
        <v>50069</v>
      </c>
      <c r="K113">
        <f t="shared" si="18"/>
        <v>75105</v>
      </c>
      <c r="L113">
        <f>IF(AND(REVENU_RIOGA&lt;K113,REVENU_RIOGA&gt;J113),6,0)</f>
        <v>0</v>
      </c>
      <c r="M113">
        <v>9124</v>
      </c>
      <c r="N113">
        <f t="shared" si="16"/>
        <v>0</v>
      </c>
    </row>
    <row r="114" spans="1:14">
      <c r="A114">
        <v>75104</v>
      </c>
      <c r="B114">
        <f t="shared" si="17"/>
        <v>100141</v>
      </c>
      <c r="C114">
        <f>IF(AND(REVENU&lt;B114,REVENU&gt;A114),7,0)</f>
        <v>0</v>
      </c>
      <c r="D114">
        <v>11405</v>
      </c>
      <c r="E114">
        <f t="shared" si="15"/>
        <v>0</v>
      </c>
      <c r="J114">
        <v>75104</v>
      </c>
      <c r="K114">
        <f t="shared" si="18"/>
        <v>100141</v>
      </c>
      <c r="L114">
        <f>IF(AND(REVENU_RIOGA&lt;K114,REVENU_RIOGA&gt;J114),7,0)</f>
        <v>0</v>
      </c>
      <c r="M114">
        <v>11405</v>
      </c>
      <c r="N114">
        <f t="shared" si="16"/>
        <v>0</v>
      </c>
    </row>
    <row r="115" spans="1:14">
      <c r="A115">
        <v>100140</v>
      </c>
      <c r="C115">
        <f>IF(AND(REVENU&lt;B115,REVENU&gt;A115),8,0)</f>
        <v>0</v>
      </c>
      <c r="D115">
        <v>13686</v>
      </c>
      <c r="E115">
        <f t="shared" si="15"/>
        <v>0</v>
      </c>
      <c r="J115">
        <v>100140</v>
      </c>
      <c r="L115">
        <f>IF(AND(REVENU_RIOGA&lt;K115,REVENU_RIOGA&gt;J115),8,0)</f>
        <v>0</v>
      </c>
      <c r="M115">
        <v>13686</v>
      </c>
      <c r="N115">
        <f t="shared" si="16"/>
        <v>0</v>
      </c>
    </row>
    <row r="116" spans="1:14">
      <c r="C116">
        <f>SUM(C108:C115)</f>
        <v>1</v>
      </c>
      <c r="E116">
        <f>SUM(E108:E115)</f>
        <v>1141</v>
      </c>
      <c r="L116">
        <f>SUM(L108:L115)</f>
        <v>1</v>
      </c>
      <c r="N116">
        <f>SUM(N108:N115)</f>
        <v>1141</v>
      </c>
    </row>
    <row r="117" spans="1:14">
      <c r="C117" t="str">
        <f>IF(C116=1,"Super Spéciale I",IF(C116=2,"Super Spéciale II",IF(C116=3,"Spéciale I",IF(C116=4,"Spéciale II",IF(C116=5,"Classe A",IF(C116=6,"Classe B",IF(C116=7,"Classe C","Classe D")))))))</f>
        <v>Super Spéciale I</v>
      </c>
      <c r="L117" t="str">
        <f>IF(L116=1,"Super Spéciale I",IF(L116=2,"Super Spéciale II",IF(L116=3,"Spéciale I",IF(L116=4,"Spéciale II",IF(L116=5,"Classe A",IF(L116=6,"Classe B",IF(L116=7,"Classe C","Classe D")))))))</f>
        <v>Super Spéciale I</v>
      </c>
    </row>
    <row r="120" spans="1:14">
      <c r="A120" s="7" t="s">
        <v>31</v>
      </c>
      <c r="B120" t="s">
        <v>48</v>
      </c>
      <c r="C120">
        <v>390</v>
      </c>
    </row>
    <row r="122" spans="1:14" ht="21">
      <c r="A122" s="14" t="s">
        <v>50</v>
      </c>
    </row>
    <row r="124" spans="1:14">
      <c r="A124" s="7" t="s">
        <v>17</v>
      </c>
    </row>
    <row r="126" spans="1:14">
      <c r="A126" s="8" t="s">
        <v>6</v>
      </c>
      <c r="B126" s="8" t="s">
        <v>7</v>
      </c>
      <c r="J126" s="8" t="s">
        <v>6</v>
      </c>
      <c r="K126" s="8" t="s">
        <v>7</v>
      </c>
    </row>
    <row r="127" spans="1:14">
      <c r="A127">
        <v>0</v>
      </c>
      <c r="B127">
        <f>A128+1</f>
        <v>16191</v>
      </c>
      <c r="C127">
        <f>IF(REVENU&lt;B127,1,0)</f>
        <v>1</v>
      </c>
      <c r="D127">
        <v>760</v>
      </c>
      <c r="E127">
        <f>IF(C127&gt;0,D127,0)</f>
        <v>760</v>
      </c>
      <c r="J127">
        <v>0</v>
      </c>
      <c r="K127">
        <f>J128+1</f>
        <v>16191</v>
      </c>
      <c r="L127">
        <f>IF(REVENU_RIOGA&lt;K127,1,0)</f>
        <v>1</v>
      </c>
      <c r="M127">
        <v>760</v>
      </c>
      <c r="N127">
        <f>IF(L127&gt;0,M127,0)</f>
        <v>760</v>
      </c>
    </row>
    <row r="128" spans="1:14">
      <c r="A128">
        <v>16190</v>
      </c>
      <c r="B128">
        <f>A129+1</f>
        <v>32351</v>
      </c>
      <c r="C128">
        <f>IF(AND(REVENU&lt;B128,REVENU&gt;A128),2,0)</f>
        <v>0</v>
      </c>
      <c r="D128">
        <v>2851</v>
      </c>
      <c r="E128">
        <f t="shared" ref="E128:E134" si="19">IF(C128&gt;0,D128,0)</f>
        <v>0</v>
      </c>
      <c r="J128">
        <v>16190</v>
      </c>
      <c r="K128">
        <f>J129+1</f>
        <v>32351</v>
      </c>
      <c r="L128">
        <f>IF(AND(REVENU_RIOGA&lt;K128,REVENU_RIOGA&gt;J128),2,0)</f>
        <v>0</v>
      </c>
      <c r="M128">
        <v>2851</v>
      </c>
      <c r="N128">
        <f t="shared" ref="N128:N134" si="20">IF(L128&gt;0,M128,0)</f>
        <v>0</v>
      </c>
    </row>
    <row r="129" spans="1:14">
      <c r="A129">
        <v>32350</v>
      </c>
      <c r="B129">
        <f t="shared" ref="B129:B133" si="21">A130+1</f>
        <v>44791</v>
      </c>
      <c r="C129">
        <f>IF(AND(REVENU&lt;B129,REVENU&gt;A129),3,0)</f>
        <v>0</v>
      </c>
      <c r="D129">
        <v>4499</v>
      </c>
      <c r="E129">
        <f t="shared" si="19"/>
        <v>0</v>
      </c>
      <c r="J129">
        <v>32350</v>
      </c>
      <c r="K129">
        <f t="shared" ref="K129:K133" si="22">J130+1</f>
        <v>44791</v>
      </c>
      <c r="L129">
        <f>IF(AND(REVENU_RIOGA&lt;K129,REVENU_RIOGA&gt;J129),3,0)</f>
        <v>0</v>
      </c>
      <c r="M129">
        <v>4499</v>
      </c>
      <c r="N129">
        <f t="shared" si="20"/>
        <v>0</v>
      </c>
    </row>
    <row r="130" spans="1:14">
      <c r="A130">
        <v>44790</v>
      </c>
      <c r="B130">
        <f t="shared" si="21"/>
        <v>64561</v>
      </c>
      <c r="C130">
        <f>IF(AND(REVENU&lt;B130,REVENU&gt;A130),4,0)</f>
        <v>0</v>
      </c>
      <c r="D130">
        <v>7033</v>
      </c>
      <c r="E130">
        <f t="shared" si="19"/>
        <v>0</v>
      </c>
      <c r="J130">
        <v>44790</v>
      </c>
      <c r="K130">
        <f t="shared" si="22"/>
        <v>64561</v>
      </c>
      <c r="L130">
        <f>IF(AND(REVENU_RIOGA&lt;K130,REVENU_RIOGA&gt;J130),4,0)</f>
        <v>0</v>
      </c>
      <c r="M130">
        <v>7033</v>
      </c>
      <c r="N130">
        <f t="shared" si="20"/>
        <v>0</v>
      </c>
    </row>
    <row r="131" spans="1:14">
      <c r="A131">
        <v>64560</v>
      </c>
      <c r="B131">
        <f t="shared" si="21"/>
        <v>79041</v>
      </c>
      <c r="C131">
        <f>IF(AND(REVENU&lt;B131,REVENU&gt;A131),5,0)</f>
        <v>0</v>
      </c>
      <c r="D131">
        <v>11215</v>
      </c>
      <c r="E131">
        <f t="shared" si="19"/>
        <v>0</v>
      </c>
      <c r="J131">
        <v>64560</v>
      </c>
      <c r="K131">
        <f t="shared" si="22"/>
        <v>79041</v>
      </c>
      <c r="L131">
        <f>IF(AND(REVENU_RIOGA&lt;K131,REVENU_RIOGA&gt;J131),5,0)</f>
        <v>0</v>
      </c>
      <c r="M131">
        <v>11215</v>
      </c>
      <c r="N131">
        <f t="shared" si="20"/>
        <v>0</v>
      </c>
    </row>
    <row r="132" spans="1:14">
      <c r="A132">
        <v>79040</v>
      </c>
      <c r="B132">
        <f t="shared" si="21"/>
        <v>94851</v>
      </c>
      <c r="C132">
        <f>IF(AND(REVENU&lt;B132,REVENU&gt;A132),6,0)</f>
        <v>0</v>
      </c>
      <c r="D132">
        <v>17108</v>
      </c>
      <c r="E132">
        <f t="shared" si="19"/>
        <v>0</v>
      </c>
      <c r="J132">
        <v>79040</v>
      </c>
      <c r="K132">
        <f t="shared" si="22"/>
        <v>94851</v>
      </c>
      <c r="L132">
        <f>IF(AND(REVENU_RIOGA&lt;K132,REVENU_RIOGA&gt;J132),6,0)</f>
        <v>0</v>
      </c>
      <c r="M132">
        <v>17108</v>
      </c>
      <c r="N132">
        <f t="shared" si="20"/>
        <v>0</v>
      </c>
    </row>
    <row r="133" spans="1:14">
      <c r="A133">
        <v>94850</v>
      </c>
      <c r="B133">
        <f t="shared" si="21"/>
        <v>132781</v>
      </c>
      <c r="C133">
        <f>IF(AND(REVENU&lt;B133,REVENU&gt;A133),7,0)</f>
        <v>0</v>
      </c>
      <c r="D133">
        <v>19009</v>
      </c>
      <c r="E133">
        <f t="shared" si="19"/>
        <v>0</v>
      </c>
      <c r="J133">
        <v>94850</v>
      </c>
      <c r="K133">
        <f t="shared" si="22"/>
        <v>132781</v>
      </c>
      <c r="L133">
        <f>IF(AND(REVENU_RIOGA&lt;K133,REVENU_RIOGA&gt;J133),7,0)</f>
        <v>0</v>
      </c>
      <c r="M133">
        <v>19009</v>
      </c>
      <c r="N133">
        <f t="shared" si="20"/>
        <v>0</v>
      </c>
    </row>
    <row r="134" spans="1:14">
      <c r="A134">
        <v>132780</v>
      </c>
      <c r="C134">
        <f>IF(AND(REVENU&lt;B134,REVENU&gt;A134),8,0)</f>
        <v>0</v>
      </c>
      <c r="D134">
        <v>23762</v>
      </c>
      <c r="E134">
        <f t="shared" si="19"/>
        <v>0</v>
      </c>
      <c r="J134">
        <v>132780</v>
      </c>
      <c r="L134">
        <f>IF(AND(REVENU_RIOGA&lt;K134,REVENU_RIOGA&gt;J134),8,0)</f>
        <v>0</v>
      </c>
      <c r="M134">
        <v>23762</v>
      </c>
      <c r="N134">
        <f t="shared" si="20"/>
        <v>0</v>
      </c>
    </row>
    <row r="135" spans="1:14">
      <c r="C135">
        <f>SUM(C127:C134)</f>
        <v>1</v>
      </c>
      <c r="E135">
        <f>SUM(E127:E134)</f>
        <v>760</v>
      </c>
      <c r="L135">
        <f>SUM(L127:L134)</f>
        <v>1</v>
      </c>
      <c r="N135">
        <f>SUM(N127:N134)</f>
        <v>760</v>
      </c>
    </row>
    <row r="136" spans="1:14">
      <c r="C136" t="str">
        <f>IF(C135=1,"Classe A",IF(C135=2,"Classe B",IF(C135=3,"Classe C",IF(C135=4,"Classe D",IF(C135=5,"Classe E",IF(C135=6,"Classe F",IF(C135=7,"Classe G","Classe H")))))))</f>
        <v>Classe A</v>
      </c>
      <c r="L136" t="str">
        <f>IF(L135=1,"Classe A",IF(L135=2,"Classe B",IF(L135=3,"Classe C",IF(L135=4,"Classe D",IF(L135=5,"Classe E",IF(L135=6,"Classe F",IF(L135=7,"Classe G","Classe H")))))))</f>
        <v>Classe A</v>
      </c>
    </row>
    <row r="137" spans="1:14">
      <c r="A137" s="7" t="s">
        <v>51</v>
      </c>
    </row>
    <row r="139" spans="1:14">
      <c r="A139" s="8" t="s">
        <v>6</v>
      </c>
      <c r="B139" s="8" t="s">
        <v>7</v>
      </c>
      <c r="J139" s="8" t="s">
        <v>6</v>
      </c>
      <c r="K139" s="8" t="s">
        <v>7</v>
      </c>
    </row>
    <row r="140" spans="1:14">
      <c r="A140">
        <v>0</v>
      </c>
      <c r="B140">
        <f>A141+1</f>
        <v>16191</v>
      </c>
      <c r="C140">
        <f>IF(REVENU&lt;B140,1,0)</f>
        <v>1</v>
      </c>
      <c r="D140">
        <v>288</v>
      </c>
      <c r="E140">
        <f>IF(C140&gt;0,D140,0)</f>
        <v>288</v>
      </c>
      <c r="J140">
        <v>0</v>
      </c>
      <c r="K140">
        <f>J141+1</f>
        <v>16191</v>
      </c>
      <c r="L140">
        <f>IF(REVENU_RIOGA&lt;K140,1,0)</f>
        <v>1</v>
      </c>
      <c r="M140">
        <v>288</v>
      </c>
      <c r="N140">
        <f>IF(L140&gt;0,M140,0)</f>
        <v>288</v>
      </c>
    </row>
    <row r="141" spans="1:14">
      <c r="A141">
        <v>16190</v>
      </c>
      <c r="B141">
        <f>A142+1</f>
        <v>44791</v>
      </c>
      <c r="C141">
        <f>IF(AND(REVENU&lt;B141,REVENU&gt;A141),2,0)</f>
        <v>0</v>
      </c>
      <c r="D141">
        <v>396</v>
      </c>
      <c r="E141">
        <f t="shared" ref="E141:E143" si="23">IF(C141&gt;0,D141,0)</f>
        <v>0</v>
      </c>
      <c r="J141">
        <v>16190</v>
      </c>
      <c r="K141">
        <f>J142+1</f>
        <v>44791</v>
      </c>
      <c r="L141">
        <f>IF(AND(REVENU_RIOGA&lt;K141,REVENU_RIOGA&gt;J141),2,0)</f>
        <v>0</v>
      </c>
      <c r="M141">
        <v>396</v>
      </c>
      <c r="N141">
        <f t="shared" ref="N141:N143" si="24">IF(L141&gt;0,M141,0)</f>
        <v>0</v>
      </c>
    </row>
    <row r="142" spans="1:14">
      <c r="A142">
        <v>44790</v>
      </c>
      <c r="B142">
        <f t="shared" ref="B142" si="25">A143+1</f>
        <v>79041</v>
      </c>
      <c r="C142">
        <f>IF(AND(REVENU&lt;B142,REVENU&gt;A142),3,0)</f>
        <v>0</v>
      </c>
      <c r="D142">
        <v>612</v>
      </c>
      <c r="E142">
        <f t="shared" si="23"/>
        <v>0</v>
      </c>
      <c r="J142">
        <v>44790</v>
      </c>
      <c r="K142">
        <f t="shared" ref="K142" si="26">J143+1</f>
        <v>79041</v>
      </c>
      <c r="L142">
        <f>IF(AND(REVENU_RIOGA&lt;K142,REVENU_RIOGA&gt;J142),3,0)</f>
        <v>0</v>
      </c>
      <c r="M142">
        <v>612</v>
      </c>
      <c r="N142">
        <f t="shared" si="24"/>
        <v>0</v>
      </c>
    </row>
    <row r="143" spans="1:14">
      <c r="A143">
        <v>79040</v>
      </c>
      <c r="C143">
        <f>IF(REVENU&gt;A143,4,0)</f>
        <v>0</v>
      </c>
      <c r="D143">
        <v>828</v>
      </c>
      <c r="E143">
        <f t="shared" si="23"/>
        <v>0</v>
      </c>
      <c r="J143">
        <v>79040</v>
      </c>
      <c r="L143">
        <f>IF(REVENU_RIOGA&gt;J143,4,0)</f>
        <v>0</v>
      </c>
      <c r="M143">
        <v>828</v>
      </c>
      <c r="N143">
        <f t="shared" si="24"/>
        <v>0</v>
      </c>
    </row>
    <row r="144" spans="1:14">
      <c r="C144">
        <f>SUM(C140:C143)</f>
        <v>1</v>
      </c>
      <c r="E144">
        <f>SUM(E140:E143)</f>
        <v>288</v>
      </c>
      <c r="L144">
        <f>SUM(L140:L143)</f>
        <v>1</v>
      </c>
      <c r="N144">
        <f>SUM(N140:N143)</f>
        <v>288</v>
      </c>
    </row>
    <row r="145" spans="1:13">
      <c r="C145" t="str">
        <f>IF(C144=1,"Classe 1",IF(C144=2,"Classe 2",IF(C144=3,"Classe 3","Classe 4")))</f>
        <v>Classe 1</v>
      </c>
      <c r="L145" t="str">
        <f>IF(L144=1,"Classe 1",IF(L144=2,"Classe 2",IF(L144=3,"Classe 3","Classe 4")))</f>
        <v>Classe 1</v>
      </c>
    </row>
    <row r="147" spans="1:13" ht="21">
      <c r="A147" s="14" t="s">
        <v>53</v>
      </c>
    </row>
    <row r="149" spans="1:13">
      <c r="A149" s="7" t="s">
        <v>17</v>
      </c>
    </row>
    <row r="151" spans="1:13">
      <c r="A151" t="s">
        <v>54</v>
      </c>
      <c r="J151" t="s">
        <v>54</v>
      </c>
    </row>
    <row r="152" spans="1:13">
      <c r="A152" s="8" t="s">
        <v>6</v>
      </c>
      <c r="B152" s="8" t="s">
        <v>7</v>
      </c>
      <c r="J152" s="8" t="s">
        <v>6</v>
      </c>
      <c r="K152" s="8" t="s">
        <v>7</v>
      </c>
    </row>
    <row r="153" spans="1:13">
      <c r="A153">
        <v>0</v>
      </c>
      <c r="B153">
        <f>PASS+1</f>
        <v>46369</v>
      </c>
      <c r="C153">
        <f>IF(REVENU&lt;1,0,IF(REVENU&lt;B153,REVENU,0))</f>
        <v>0</v>
      </c>
      <c r="D153" s="4">
        <v>0.09</v>
      </c>
      <c r="J153">
        <v>0</v>
      </c>
      <c r="K153">
        <f>PASS+1</f>
        <v>46369</v>
      </c>
      <c r="L153">
        <f>IF(REVENU_RIOGA&lt;1,0,IF(REVENU_RIOGA&lt;K153,REVENU_RIOGA,0))</f>
        <v>0</v>
      </c>
      <c r="M153" s="4">
        <v>0.09</v>
      </c>
    </row>
    <row r="154" spans="1:13">
      <c r="A154">
        <f>PASS</f>
        <v>46368</v>
      </c>
      <c r="C154">
        <f>IF(REVENU&gt;A154,A154,0)</f>
        <v>0</v>
      </c>
      <c r="J154">
        <f>PASS</f>
        <v>46368</v>
      </c>
      <c r="L154">
        <f>IF(REVENU_RIOGA&gt;J154,J154,0)</f>
        <v>0</v>
      </c>
    </row>
    <row r="155" spans="1:13">
      <c r="C155">
        <f>SUM(C153:C154)</f>
        <v>0</v>
      </c>
      <c r="D155" s="4">
        <f>D153</f>
        <v>0.09</v>
      </c>
      <c r="L155">
        <f>SUM(L153:L154)</f>
        <v>0</v>
      </c>
      <c r="M155" s="4">
        <f>M153</f>
        <v>0.09</v>
      </c>
    </row>
    <row r="157" spans="1:13">
      <c r="A157" t="s">
        <v>57</v>
      </c>
      <c r="J157" t="s">
        <v>57</v>
      </c>
    </row>
    <row r="158" spans="1:13">
      <c r="A158" s="8" t="s">
        <v>6</v>
      </c>
      <c r="B158" s="8" t="s">
        <v>7</v>
      </c>
      <c r="J158" s="8" t="s">
        <v>6</v>
      </c>
      <c r="K158" s="8" t="s">
        <v>7</v>
      </c>
    </row>
    <row r="159" spans="1:13">
      <c r="A159">
        <v>0</v>
      </c>
      <c r="B159">
        <f>PASS+1</f>
        <v>46369</v>
      </c>
      <c r="C159">
        <v>0</v>
      </c>
      <c r="J159">
        <v>0</v>
      </c>
      <c r="K159">
        <f>PASS+1</f>
        <v>46369</v>
      </c>
      <c r="L159">
        <v>0</v>
      </c>
    </row>
    <row r="160" spans="1:13">
      <c r="A160">
        <f>PASS</f>
        <v>46368</v>
      </c>
      <c r="B160">
        <f>PASS_300+1</f>
        <v>139105</v>
      </c>
      <c r="C160">
        <f>IF(AND(REVENU&lt;B160,REVENU&gt;A160),REVENU-A160,0)</f>
        <v>0</v>
      </c>
      <c r="J160">
        <f>PASS</f>
        <v>46368</v>
      </c>
      <c r="K160">
        <f>PASS_300+1</f>
        <v>139105</v>
      </c>
      <c r="L160">
        <f>IF(AND(REVENU_RIOGA&lt;K160,REVENU_RIOGA&gt;J160),REVENU_RIOGA-J160,0)</f>
        <v>0</v>
      </c>
    </row>
    <row r="161" spans="1:13">
      <c r="A161">
        <f>PASS_300</f>
        <v>139104</v>
      </c>
      <c r="C161">
        <f>IF(REVENU&gt;A161,B160-A160,0)</f>
        <v>0</v>
      </c>
      <c r="J161">
        <f>PASS_300</f>
        <v>139104</v>
      </c>
      <c r="L161">
        <f>IF(REVENU_RIOGA&gt;J161,K160-J160,0)</f>
        <v>0</v>
      </c>
    </row>
    <row r="162" spans="1:13">
      <c r="C162">
        <f>SUM(C159:C161)</f>
        <v>0</v>
      </c>
      <c r="D162" s="4">
        <v>0.22</v>
      </c>
      <c r="L162">
        <f>SUM(L159:L161)</f>
        <v>0</v>
      </c>
      <c r="M162" s="4">
        <v>0.22</v>
      </c>
    </row>
    <row r="164" spans="1:13">
      <c r="A164" s="7" t="s">
        <v>51</v>
      </c>
    </row>
    <row r="166" spans="1:13">
      <c r="A166" s="8" t="s">
        <v>6</v>
      </c>
      <c r="B166" s="8" t="s">
        <v>7</v>
      </c>
      <c r="J166" s="8" t="s">
        <v>6</v>
      </c>
      <c r="K166" s="8" t="s">
        <v>7</v>
      </c>
    </row>
    <row r="167" spans="1:13">
      <c r="A167">
        <v>0</v>
      </c>
      <c r="B167">
        <f>ROUND(PASS*0.37,0)+1</f>
        <v>17157</v>
      </c>
      <c r="C167">
        <f>IF(REVENU&lt;B167,A168,0)</f>
        <v>17156</v>
      </c>
      <c r="J167">
        <v>0</v>
      </c>
      <c r="K167">
        <f>ROUND(PASS*0.37,0)+1</f>
        <v>17157</v>
      </c>
      <c r="L167">
        <f>IF(REVENU_RIOGA&lt;K167,J168,0)</f>
        <v>17156</v>
      </c>
    </row>
    <row r="168" spans="1:13">
      <c r="A168">
        <f>ROUND(PASS*0.37,0)</f>
        <v>17156</v>
      </c>
      <c r="B168">
        <f>A169+1</f>
        <v>85782</v>
      </c>
      <c r="C168">
        <f>IF(AND(REVENU&lt;B168,REVENU&gt;A168),REVENU,0)</f>
        <v>0</v>
      </c>
      <c r="J168">
        <f>ROUND(PASS*0.37,0)</f>
        <v>17156</v>
      </c>
      <c r="K168">
        <f>J169+1</f>
        <v>85782</v>
      </c>
      <c r="L168">
        <f>IF(AND(REVENU_RIOGA&lt;K168,REVENU_RIOGA&gt;J168),REVENU_RIOGA,0)</f>
        <v>0</v>
      </c>
    </row>
    <row r="169" spans="1:13">
      <c r="A169">
        <f>ROUND(PASS*1.85,0)</f>
        <v>85781</v>
      </c>
      <c r="C169">
        <f>IF(REVENU&gt;A169,A169,0)</f>
        <v>0</v>
      </c>
      <c r="J169">
        <f>ROUND(PASS*1.85,0)</f>
        <v>85781</v>
      </c>
      <c r="L169">
        <f>IF(REVENU_RIOGA&gt;J169,J169,0)</f>
        <v>0</v>
      </c>
    </row>
    <row r="170" spans="1:13">
      <c r="C170">
        <f>SUM(C167:C169)</f>
        <v>17156</v>
      </c>
      <c r="D170" s="6">
        <v>5.0000000000000001E-3</v>
      </c>
      <c r="L170">
        <f>SUM(L167:L169)</f>
        <v>17156</v>
      </c>
      <c r="M170" s="6">
        <v>5.0000000000000001E-3</v>
      </c>
    </row>
    <row r="172" spans="1:13" ht="21">
      <c r="A172" s="14" t="s">
        <v>76</v>
      </c>
    </row>
    <row r="174" spans="1:13">
      <c r="A174" s="7" t="s">
        <v>17</v>
      </c>
    </row>
    <row r="175" spans="1:13">
      <c r="A175" t="s">
        <v>35</v>
      </c>
      <c r="B175">
        <v>3108</v>
      </c>
    </row>
    <row r="176" spans="1:13">
      <c r="A176" t="s">
        <v>54</v>
      </c>
      <c r="J176" t="s">
        <v>54</v>
      </c>
    </row>
    <row r="177" spans="1:13">
      <c r="A177" s="8" t="s">
        <v>6</v>
      </c>
      <c r="B177" s="8" t="s">
        <v>7</v>
      </c>
      <c r="J177" s="8" t="s">
        <v>6</v>
      </c>
      <c r="K177" s="8" t="s">
        <v>7</v>
      </c>
    </row>
    <row r="178" spans="1:13">
      <c r="A178">
        <v>0</v>
      </c>
      <c r="B178">
        <f>A179+1</f>
        <v>39414</v>
      </c>
      <c r="C178">
        <f>IF(REVENU&lt;B178,0,0)</f>
        <v>0</v>
      </c>
      <c r="J178">
        <f>A178</f>
        <v>0</v>
      </c>
      <c r="K178">
        <f>B178</f>
        <v>39414</v>
      </c>
      <c r="L178">
        <f>IF(REVENU_RIOGA&lt;K178,0,0)</f>
        <v>0</v>
      </c>
    </row>
    <row r="179" spans="1:13">
      <c r="A179">
        <f>ROUND(0.85*PASS,0)</f>
        <v>39413</v>
      </c>
      <c r="B179">
        <f>A180+1</f>
        <v>231841</v>
      </c>
      <c r="C179">
        <f>IF(AND(REVENU&lt;B179,REVENU&gt;A179),REVENU-A179,0)</f>
        <v>0</v>
      </c>
      <c r="J179">
        <f t="shared" ref="J179:J180" si="27">A179</f>
        <v>39413</v>
      </c>
      <c r="K179">
        <f t="shared" ref="K179:K180" si="28">B179</f>
        <v>231841</v>
      </c>
      <c r="L179">
        <f>IF(AND(REVENU_RIOGA&lt;K179,REVENU_RIOGA&gt;J179),REVENU_RIOGA-J179,0)</f>
        <v>0</v>
      </c>
    </row>
    <row r="180" spans="1:13">
      <c r="A180">
        <f>PASS_500</f>
        <v>231840</v>
      </c>
      <c r="C180">
        <f>IF(REVENU&gt;A180,A180-A179,0)</f>
        <v>0</v>
      </c>
      <c r="J180">
        <f t="shared" si="27"/>
        <v>231840</v>
      </c>
      <c r="K180">
        <f t="shared" si="28"/>
        <v>0</v>
      </c>
      <c r="L180">
        <f>IF(REVENU_RIOGA&gt;J180,J180-J179,0)</f>
        <v>0</v>
      </c>
    </row>
    <row r="181" spans="1:13">
      <c r="C181">
        <f>SUM(C178:C180)</f>
        <v>0</v>
      </c>
      <c r="D181" s="6">
        <v>0.108</v>
      </c>
      <c r="L181">
        <f>SUM(L178:L180)</f>
        <v>0</v>
      </c>
      <c r="M181" s="6">
        <f>D181</f>
        <v>0.108</v>
      </c>
    </row>
    <row r="183" spans="1:13">
      <c r="A183" s="7" t="s">
        <v>77</v>
      </c>
    </row>
    <row r="184" spans="1:13">
      <c r="A184" t="s">
        <v>35</v>
      </c>
      <c r="B184">
        <v>1619</v>
      </c>
    </row>
    <row r="185" spans="1:13">
      <c r="A185" t="s">
        <v>54</v>
      </c>
      <c r="J185" t="s">
        <v>54</v>
      </c>
    </row>
    <row r="186" spans="1:13">
      <c r="A186" s="8" t="s">
        <v>6</v>
      </c>
      <c r="B186" s="8" t="s">
        <v>7</v>
      </c>
      <c r="J186" s="8" t="s">
        <v>6</v>
      </c>
      <c r="K186" s="8" t="s">
        <v>7</v>
      </c>
    </row>
    <row r="187" spans="1:13">
      <c r="A187">
        <v>0</v>
      </c>
      <c r="B187">
        <f>A188+1</f>
        <v>231841</v>
      </c>
      <c r="C187">
        <f>IF(REVENU&lt;1,0,IF(REVENU&lt;B187,REVENU,0))</f>
        <v>0</v>
      </c>
      <c r="J187">
        <f>A187</f>
        <v>0</v>
      </c>
      <c r="K187">
        <f>B187</f>
        <v>231841</v>
      </c>
      <c r="L187">
        <f>IF(REVENU_RIOGA&lt;1,0,IF(REVENU_RIOGA&lt;K187,REVENU_RIOGA,0))</f>
        <v>0</v>
      </c>
    </row>
    <row r="188" spans="1:13">
      <c r="A188">
        <f>PASS_500</f>
        <v>231840</v>
      </c>
      <c r="C188">
        <f>IF(REVENU&gt;A188,A188,0)</f>
        <v>0</v>
      </c>
      <c r="J188">
        <f>A188</f>
        <v>231840</v>
      </c>
      <c r="L188">
        <f>IF(REVENU_RIOGA&gt;J188,J188,0)</f>
        <v>0</v>
      </c>
    </row>
    <row r="189" spans="1:13">
      <c r="C189">
        <f>C188+C187</f>
        <v>0</v>
      </c>
      <c r="D189" s="6">
        <v>7.2500000000000004E-3</v>
      </c>
      <c r="L189">
        <f>L188+L187</f>
        <v>0</v>
      </c>
      <c r="M189" s="6">
        <f>D189</f>
        <v>7.2500000000000004E-3</v>
      </c>
    </row>
    <row r="191" spans="1:13">
      <c r="A191" s="7" t="s">
        <v>32</v>
      </c>
    </row>
    <row r="192" spans="1:13">
      <c r="A192" t="s">
        <v>35</v>
      </c>
      <c r="B192">
        <v>1284</v>
      </c>
    </row>
    <row r="194" spans="1:10">
      <c r="A194" s="7" t="s">
        <v>79</v>
      </c>
    </row>
    <row r="195" spans="1:10">
      <c r="A195" t="s">
        <v>35</v>
      </c>
      <c r="B195">
        <v>780</v>
      </c>
    </row>
    <row r="196" spans="1:10">
      <c r="A196" t="s">
        <v>22</v>
      </c>
      <c r="B196">
        <v>520</v>
      </c>
      <c r="J196" t="s">
        <v>54</v>
      </c>
    </row>
    <row r="198" spans="1:10">
      <c r="A198" s="7" t="s">
        <v>32</v>
      </c>
    </row>
    <row r="199" spans="1:10">
      <c r="A199" t="s">
        <v>35</v>
      </c>
      <c r="B199">
        <v>351</v>
      </c>
    </row>
    <row r="202" spans="1:10" ht="21">
      <c r="A202" s="14" t="s">
        <v>83</v>
      </c>
    </row>
    <row r="204" spans="1:10">
      <c r="A204" s="7" t="s">
        <v>84</v>
      </c>
    </row>
    <row r="206" spans="1:10">
      <c r="A206" t="s">
        <v>85</v>
      </c>
      <c r="B206" s="6">
        <v>4.0000000000000001E-3</v>
      </c>
    </row>
    <row r="207" spans="1:10">
      <c r="A207" t="s">
        <v>86</v>
      </c>
      <c r="B207" s="6">
        <v>4.0000000000000001E-3</v>
      </c>
    </row>
    <row r="208" spans="1:10">
      <c r="A208" t="s">
        <v>87</v>
      </c>
      <c r="B208" s="6">
        <v>6.9000000000000006E-2</v>
      </c>
    </row>
    <row r="209" spans="1:10">
      <c r="A209" t="s">
        <v>86</v>
      </c>
      <c r="B209" s="6">
        <v>7.4999999999999997E-3</v>
      </c>
    </row>
    <row r="211" spans="1:10">
      <c r="A211" t="s">
        <v>12</v>
      </c>
      <c r="B211" s="6">
        <v>3.5000000000000001E-3</v>
      </c>
    </row>
    <row r="213" spans="1:10">
      <c r="A213" t="s">
        <v>88</v>
      </c>
      <c r="B213" s="4">
        <v>0.08</v>
      </c>
    </row>
    <row r="215" spans="1:10">
      <c r="A215" t="s">
        <v>90</v>
      </c>
      <c r="B215">
        <v>10143</v>
      </c>
    </row>
    <row r="216" spans="1:10">
      <c r="A216" t="s">
        <v>91</v>
      </c>
      <c r="B216">
        <v>139104</v>
      </c>
    </row>
    <row r="217" spans="1:10">
      <c r="A217" t="s">
        <v>92</v>
      </c>
      <c r="B217">
        <f>IF('2-ARTISTES'!B4&lt;'Chiffres '!B215,0,IF('2-ARTISTES'!B4&gt;'Chiffres '!B216,'Chiffres '!B216,'2-ARTISTES'!B4))</f>
        <v>0</v>
      </c>
      <c r="H217">
        <f>IF('2-ARTISTES'!J4&lt;'Chiffres '!B215,0,IF('2-ARTISTES'!J4&gt;'Chiffres '!B216,'Chiffres '!B216,'2-ARTISTES'!J4))</f>
        <v>0</v>
      </c>
    </row>
    <row r="220" spans="1:10" ht="21">
      <c r="A220" s="14" t="s">
        <v>93</v>
      </c>
    </row>
    <row r="222" spans="1:10">
      <c r="A222" s="7" t="s">
        <v>95</v>
      </c>
    </row>
    <row r="223" spans="1:10">
      <c r="D223" t="s">
        <v>96</v>
      </c>
      <c r="E223" s="6">
        <v>6.7000000000000004E-2</v>
      </c>
    </row>
    <row r="224" spans="1:10">
      <c r="A224" t="s">
        <v>54</v>
      </c>
      <c r="J224" t="s">
        <v>54</v>
      </c>
    </row>
    <row r="225" spans="1:15">
      <c r="A225" s="8" t="s">
        <v>6</v>
      </c>
      <c r="B225" s="8" t="s">
        <v>7</v>
      </c>
      <c r="J225" s="8" t="s">
        <v>6</v>
      </c>
      <c r="K225" s="8" t="s">
        <v>7</v>
      </c>
    </row>
    <row r="226" spans="1:15">
      <c r="B226">
        <f>A227+1</f>
        <v>18548</v>
      </c>
      <c r="C226">
        <f>IF(REVENU&lt;1,0,IF(REVENU&lt;B226,REVENU,0))</f>
        <v>0</v>
      </c>
      <c r="D226" s="4">
        <v>0</v>
      </c>
      <c r="E226">
        <f>C226*D226</f>
        <v>0</v>
      </c>
      <c r="F226">
        <f>IF(C226=0,0,D226)</f>
        <v>0</v>
      </c>
      <c r="J226">
        <f>A226</f>
        <v>0</v>
      </c>
      <c r="K226">
        <f>B226</f>
        <v>18548</v>
      </c>
      <c r="L226">
        <f>IF(REVENU_RIOGA&lt;1,0,IF(REVENU_RIOGA&lt;K226,REVENU_RIOGA,0))</f>
        <v>0</v>
      </c>
      <c r="M226" s="4">
        <v>0</v>
      </c>
      <c r="N226">
        <f>L226*M226</f>
        <v>0</v>
      </c>
      <c r="O226">
        <f>IF(L226=0,0,M226)</f>
        <v>0</v>
      </c>
    </row>
    <row r="227" spans="1:15">
      <c r="A227">
        <f>PASS_040</f>
        <v>18547</v>
      </c>
      <c r="B227">
        <f t="shared" ref="B227:B229" si="29">A228+1</f>
        <v>27822</v>
      </c>
      <c r="C227">
        <f>IF(AND(REVENU&gt;A227,REVENU&lt;B227),REVENU,0)</f>
        <v>0</v>
      </c>
      <c r="D227" s="12">
        <f>($F$25/(PASS_060-PASS_040))*(REVENU-PASS_040)</f>
        <v>-7.9995686866508528E-2</v>
      </c>
      <c r="E227">
        <f t="shared" ref="E227:E230" si="30">C227*D227</f>
        <v>0</v>
      </c>
      <c r="F227">
        <f t="shared" ref="F227:F230" si="31">IF(C227=0,0,D227)</f>
        <v>0</v>
      </c>
      <c r="J227">
        <f t="shared" ref="J227:J230" si="32">A227</f>
        <v>18547</v>
      </c>
      <c r="K227">
        <f t="shared" ref="K227:K229" si="33">B227</f>
        <v>27822</v>
      </c>
      <c r="L227">
        <f>IF(AND(REVENU_RIOGA&gt;J227,REVENU_RIOGA&lt;K227),REVENU_RIOGA,0)</f>
        <v>0</v>
      </c>
      <c r="M227" s="12">
        <f>($F$25/(PASS_060-PASS_040))*(REVENU_RIOGA-PASS_040)</f>
        <v>-7.9995686866508528E-2</v>
      </c>
      <c r="N227">
        <f t="shared" ref="N227:N230" si="34">L227*M227</f>
        <v>0</v>
      </c>
      <c r="O227">
        <f t="shared" ref="O227:O230" si="35">IF(L227=0,0,M227)</f>
        <v>0</v>
      </c>
    </row>
    <row r="228" spans="1:15">
      <c r="A228">
        <f>PASS_060</f>
        <v>27821</v>
      </c>
      <c r="B228">
        <f t="shared" si="29"/>
        <v>51006</v>
      </c>
      <c r="C228">
        <f>IF(AND(REVENU&gt;A228,REVENU&lt;B228),REVENU,0)</f>
        <v>0</v>
      </c>
      <c r="D228" s="6">
        <f>((($G$25-$F$25)/(PASS_110-PASS_060))*(REVENU-PASS_060))+$F$25</f>
        <v>9.9997843340234628E-3</v>
      </c>
      <c r="E228">
        <f t="shared" si="30"/>
        <v>0</v>
      </c>
      <c r="F228">
        <f t="shared" si="31"/>
        <v>0</v>
      </c>
      <c r="J228">
        <f t="shared" si="32"/>
        <v>27821</v>
      </c>
      <c r="K228">
        <f t="shared" si="33"/>
        <v>51006</v>
      </c>
      <c r="L228">
        <f>IF(AND(REVENU_RIOGA&gt;J228,REVENU_RIOGA&lt;K228),REVENU_RIOGA,0)</f>
        <v>0</v>
      </c>
      <c r="M228" s="6">
        <f>((($G$25-$F$25)/(PASS_110-PASS_060))*(REVENU_RIOGA-PASS_060))+$F$25</f>
        <v>9.9997843340234628E-3</v>
      </c>
      <c r="N228">
        <f t="shared" si="34"/>
        <v>0</v>
      </c>
      <c r="O228">
        <f t="shared" si="35"/>
        <v>0</v>
      </c>
    </row>
    <row r="229" spans="1:15">
      <c r="A229">
        <f>PASS_110</f>
        <v>51005</v>
      </c>
      <c r="B229">
        <f t="shared" si="29"/>
        <v>231841</v>
      </c>
      <c r="C229">
        <f>IF(AND(REVENU&gt;A229,REVENU&lt;B229),REVENU,0)</f>
        <v>0</v>
      </c>
      <c r="D229" s="13">
        <f>E223</f>
        <v>6.7000000000000004E-2</v>
      </c>
      <c r="E229">
        <f t="shared" si="30"/>
        <v>0</v>
      </c>
      <c r="F229">
        <f t="shared" si="31"/>
        <v>0</v>
      </c>
      <c r="J229">
        <f t="shared" si="32"/>
        <v>51005</v>
      </c>
      <c r="K229">
        <f t="shared" si="33"/>
        <v>231841</v>
      </c>
      <c r="L229">
        <f>IF(AND(REVENU_RIOGA&gt;J229,REVENU_RIOGA&lt;K229),REVENU_RIOGA,0)</f>
        <v>0</v>
      </c>
      <c r="M229" s="13">
        <f>E223</f>
        <v>6.7000000000000004E-2</v>
      </c>
      <c r="N229">
        <f t="shared" si="34"/>
        <v>0</v>
      </c>
      <c r="O229">
        <f t="shared" si="35"/>
        <v>0</v>
      </c>
    </row>
    <row r="230" spans="1:15">
      <c r="A230">
        <f>PASS_500</f>
        <v>231840</v>
      </c>
      <c r="C230">
        <f>IF(REVENU&gt;A230,A230,0)</f>
        <v>0</v>
      </c>
      <c r="D230" s="6">
        <f>D229</f>
        <v>6.7000000000000004E-2</v>
      </c>
      <c r="E230">
        <f t="shared" si="30"/>
        <v>0</v>
      </c>
      <c r="F230">
        <f t="shared" si="31"/>
        <v>0</v>
      </c>
      <c r="J230">
        <f t="shared" si="32"/>
        <v>231840</v>
      </c>
      <c r="L230">
        <f>IF(REVENU_RIOGA&gt;J230,J230,0)</f>
        <v>0</v>
      </c>
      <c r="M230" s="6">
        <f>M229</f>
        <v>6.7000000000000004E-2</v>
      </c>
      <c r="N230">
        <f t="shared" si="34"/>
        <v>0</v>
      </c>
      <c r="O230">
        <f t="shared" si="35"/>
        <v>0</v>
      </c>
    </row>
    <row r="231" spans="1:15">
      <c r="C231" s="18">
        <f>SUM(C226:C230)</f>
        <v>0</v>
      </c>
      <c r="E231" s="18">
        <f>ROUND(SUM(E226:E230),0)</f>
        <v>0</v>
      </c>
      <c r="F231" s="46">
        <f>ROUND(SUM(F226:F230),4)</f>
        <v>0</v>
      </c>
      <c r="L231" s="18">
        <f>SUM(L226:L230)</f>
        <v>0</v>
      </c>
      <c r="N231">
        <f>ROUND(SUM(N226:N230),0)</f>
        <v>0</v>
      </c>
      <c r="O231" s="46">
        <f>ROUND(SUM(O226:O230),4)</f>
        <v>0</v>
      </c>
    </row>
    <row r="233" spans="1:15">
      <c r="A233" t="s">
        <v>57</v>
      </c>
      <c r="J233" t="s">
        <v>57</v>
      </c>
    </row>
    <row r="234" spans="1:15">
      <c r="A234">
        <f>A230</f>
        <v>231840</v>
      </c>
      <c r="C234" s="18">
        <f>IF(REVENU&gt;A234,REVENU-A234,0)</f>
        <v>0</v>
      </c>
      <c r="D234" s="16">
        <f>G25</f>
        <v>6.5000000000000002E-2</v>
      </c>
      <c r="E234" s="18">
        <f>ROUND(C234*D234,0)</f>
        <v>0</v>
      </c>
      <c r="J234">
        <f>J230</f>
        <v>231840</v>
      </c>
      <c r="L234">
        <f>IF(REVENU_RIOGA&gt;J234,REVENU_RIOGA-J234,0)</f>
        <v>0</v>
      </c>
      <c r="M234" s="6">
        <f>D234</f>
        <v>6.5000000000000002E-2</v>
      </c>
      <c r="N234">
        <f>ROUND(L234*M234,0)</f>
        <v>0</v>
      </c>
    </row>
    <row r="236" spans="1:15">
      <c r="A236" s="7" t="s">
        <v>5</v>
      </c>
      <c r="J236" s="7" t="s">
        <v>5</v>
      </c>
    </row>
    <row r="237" spans="1:15">
      <c r="A237" s="8" t="s">
        <v>6</v>
      </c>
      <c r="B237" s="8" t="s">
        <v>7</v>
      </c>
      <c r="J237" t="str">
        <f t="shared" ref="J237:J241" si="36">A237</f>
        <v>R min</v>
      </c>
      <c r="K237" t="str">
        <f t="shared" ref="K237:K241" si="37">B237</f>
        <v>R max</v>
      </c>
    </row>
    <row r="238" spans="1:15">
      <c r="A238">
        <v>0</v>
      </c>
      <c r="B238">
        <f>PASS_040+1</f>
        <v>18548</v>
      </c>
      <c r="C238">
        <f>IF(REVENU&lt;B238,PASS_040,0)</f>
        <v>18547</v>
      </c>
      <c r="D238" s="6">
        <v>5.0000000000000001E-3</v>
      </c>
      <c r="E238" s="15">
        <f>IF(C238=0,0,D238)</f>
        <v>5.0000000000000001E-3</v>
      </c>
      <c r="F238" s="10" t="s">
        <v>9</v>
      </c>
      <c r="J238">
        <f t="shared" si="36"/>
        <v>0</v>
      </c>
      <c r="K238">
        <f t="shared" si="37"/>
        <v>18548</v>
      </c>
      <c r="L238">
        <f>IF(REVENU_RIOGA&lt;K238,PASS_040,0)</f>
        <v>18547</v>
      </c>
      <c r="M238" s="6">
        <f>D238</f>
        <v>5.0000000000000001E-3</v>
      </c>
      <c r="N238" s="15">
        <f>IF(L238=0,0,M238)</f>
        <v>5.0000000000000001E-3</v>
      </c>
      <c r="O238" s="10" t="s">
        <v>9</v>
      </c>
    </row>
    <row r="239" spans="1:15">
      <c r="A239">
        <f>PASS_040</f>
        <v>18547</v>
      </c>
      <c r="B239">
        <f>A240+1</f>
        <v>231841</v>
      </c>
      <c r="C239">
        <f>IF(AND(REVENU&lt;B239,REVENU&gt;A239),REVENU,0)</f>
        <v>0</v>
      </c>
      <c r="D239" s="6">
        <f>D238</f>
        <v>5.0000000000000001E-3</v>
      </c>
      <c r="E239" s="15">
        <f t="shared" ref="E239:E240" si="38">IF(C239=0,0,D239)</f>
        <v>0</v>
      </c>
      <c r="J239">
        <f t="shared" si="36"/>
        <v>18547</v>
      </c>
      <c r="K239">
        <f t="shared" si="37"/>
        <v>231841</v>
      </c>
      <c r="L239">
        <f>IF(AND(REVENU_RIOGA&lt;K239,REVENU_RIOGA&gt;J239),REVENU_RIOGA,0)</f>
        <v>0</v>
      </c>
      <c r="M239" s="6">
        <f t="shared" ref="M239:M240" si="39">D239</f>
        <v>5.0000000000000001E-3</v>
      </c>
      <c r="N239" s="15">
        <f t="shared" ref="N239:N240" si="40">IF(L239=0,0,M239)</f>
        <v>0</v>
      </c>
    </row>
    <row r="240" spans="1:15">
      <c r="A240">
        <f>PASS_500</f>
        <v>231840</v>
      </c>
      <c r="C240">
        <f>IF(REVENU&gt;A240,A240,0)</f>
        <v>0</v>
      </c>
      <c r="D240" s="6">
        <f>D238</f>
        <v>5.0000000000000001E-3</v>
      </c>
      <c r="E240" s="15">
        <f t="shared" si="38"/>
        <v>0</v>
      </c>
      <c r="F240" s="10" t="s">
        <v>8</v>
      </c>
      <c r="J240">
        <f t="shared" si="36"/>
        <v>231840</v>
      </c>
      <c r="K240">
        <f t="shared" si="37"/>
        <v>0</v>
      </c>
      <c r="L240">
        <f>IF(REVENU_RIOGA&gt;PASS_500,PASS_500,0)</f>
        <v>0</v>
      </c>
      <c r="M240" s="6">
        <f t="shared" si="39"/>
        <v>5.0000000000000001E-3</v>
      </c>
      <c r="N240" s="15">
        <f t="shared" si="40"/>
        <v>0</v>
      </c>
      <c r="O240" s="10" t="s">
        <v>8</v>
      </c>
    </row>
    <row r="241" spans="1:14">
      <c r="C241">
        <f>SUM(C238:C240)</f>
        <v>18547</v>
      </c>
      <c r="E241" s="16">
        <f>SUM(E238:E240)</f>
        <v>5.0000000000000001E-3</v>
      </c>
      <c r="J241">
        <f t="shared" si="36"/>
        <v>0</v>
      </c>
      <c r="K241">
        <f t="shared" si="37"/>
        <v>0</v>
      </c>
      <c r="L241">
        <f>SUM(L238:L240)</f>
        <v>18547</v>
      </c>
      <c r="N241" s="16">
        <f>SUM(N238:N240)</f>
        <v>5.0000000000000001E-3</v>
      </c>
    </row>
    <row r="243" spans="1:14">
      <c r="A243" s="7" t="s">
        <v>94</v>
      </c>
      <c r="J243" s="7" t="str">
        <f>A243</f>
        <v>Vieillesse de base</v>
      </c>
    </row>
    <row r="244" spans="1:14">
      <c r="A244" t="s">
        <v>54</v>
      </c>
    </row>
    <row r="245" spans="1:14">
      <c r="A245" s="8" t="s">
        <v>6</v>
      </c>
      <c r="B245" s="8" t="s">
        <v>7</v>
      </c>
      <c r="J245" t="str">
        <f t="shared" ref="J245" si="41">A245</f>
        <v>R min</v>
      </c>
      <c r="K245" t="str">
        <f t="shared" ref="K245" si="42">B245</f>
        <v>R max</v>
      </c>
    </row>
    <row r="246" spans="1:14">
      <c r="A246">
        <v>0</v>
      </c>
      <c r="B246">
        <f>A247+1</f>
        <v>5244</v>
      </c>
      <c r="C246">
        <f>IF(REVENU&lt;B246,A247,0)</f>
        <v>5243</v>
      </c>
      <c r="D246" s="16">
        <v>0.17749999999999999</v>
      </c>
      <c r="E246">
        <f>C246*D246</f>
        <v>930.63249999999994</v>
      </c>
      <c r="J246">
        <f>A246</f>
        <v>0</v>
      </c>
      <c r="K246">
        <f>B246</f>
        <v>5244</v>
      </c>
      <c r="L246">
        <f>IF(REVENU_RIOGA&lt;K246,J247,0)</f>
        <v>5243</v>
      </c>
      <c r="M246" s="16">
        <v>0.17749999999999999</v>
      </c>
      <c r="N246">
        <f>L246*M246</f>
        <v>930.63249999999994</v>
      </c>
    </row>
    <row r="247" spans="1:14">
      <c r="A247">
        <v>5243</v>
      </c>
      <c r="B247">
        <f>A248+1</f>
        <v>46369</v>
      </c>
      <c r="C247">
        <f>IF(AND(REVENU&lt;B247,REVENU&gt;A247),REVENU,0)</f>
        <v>0</v>
      </c>
      <c r="D247" s="6">
        <f>D246</f>
        <v>0.17749999999999999</v>
      </c>
      <c r="E247">
        <f t="shared" ref="E247:E248" si="43">C247*D247</f>
        <v>0</v>
      </c>
      <c r="J247">
        <f t="shared" ref="J247:J248" si="44">A247</f>
        <v>5243</v>
      </c>
      <c r="K247">
        <f t="shared" ref="K247:K248" si="45">B247</f>
        <v>46369</v>
      </c>
      <c r="L247">
        <f>IF(AND(REVENU_RIOGA&lt;K247,REVENU_RIOGA&gt;J247),REVENU_RIOGA,0)</f>
        <v>0</v>
      </c>
      <c r="M247" s="6">
        <f>M246</f>
        <v>0.17749999999999999</v>
      </c>
      <c r="N247">
        <f t="shared" ref="N247:N248" si="46">L247*M247</f>
        <v>0</v>
      </c>
    </row>
    <row r="248" spans="1:14">
      <c r="A248">
        <f>PASS</f>
        <v>46368</v>
      </c>
      <c r="C248">
        <f>IF(REVENU&gt;A248,A248,0)</f>
        <v>0</v>
      </c>
      <c r="D248" s="6">
        <f>D246</f>
        <v>0.17749999999999999</v>
      </c>
      <c r="E248">
        <f t="shared" si="43"/>
        <v>0</v>
      </c>
      <c r="J248">
        <f t="shared" si="44"/>
        <v>46368</v>
      </c>
      <c r="K248">
        <f t="shared" si="45"/>
        <v>0</v>
      </c>
      <c r="L248">
        <f>IF(REVENU_RIOGA&gt;J248,J248,0)</f>
        <v>0</v>
      </c>
      <c r="M248" s="6">
        <f>M246</f>
        <v>0.17749999999999999</v>
      </c>
      <c r="N248">
        <f t="shared" si="46"/>
        <v>0</v>
      </c>
    </row>
    <row r="249" spans="1:14">
      <c r="C249" s="18">
        <f>SUM(C246:C248)</f>
        <v>5243</v>
      </c>
      <c r="E249" s="18">
        <f>ROUND(SUM(E246:E248),0)</f>
        <v>931</v>
      </c>
      <c r="L249" s="18">
        <f>SUM(L246:L248)</f>
        <v>5243</v>
      </c>
      <c r="N249" s="18">
        <f>ROUND(SUM(N246:N248),0)</f>
        <v>931</v>
      </c>
    </row>
    <row r="251" spans="1:14">
      <c r="A251" t="s">
        <v>57</v>
      </c>
    </row>
    <row r="252" spans="1:14">
      <c r="A252">
        <f>A248</f>
        <v>46368</v>
      </c>
      <c r="C252" s="18">
        <f>IF(REVENU&gt;A252,REVENU-A252,0)</f>
        <v>0</v>
      </c>
      <c r="D252" s="16">
        <v>6.0000000000000001E-3</v>
      </c>
      <c r="E252" s="18">
        <f>ROUND(C252*D252,0)</f>
        <v>0</v>
      </c>
      <c r="J252">
        <f>J248</f>
        <v>46368</v>
      </c>
      <c r="L252" s="18">
        <f>IF(REVENU_RIOGA&gt;J252,REVENU_RIOGA-J252,0)</f>
        <v>0</v>
      </c>
      <c r="M252" s="16">
        <v>6.0000000000000001E-3</v>
      </c>
      <c r="N252" s="18">
        <f>ROUND(L252*M252,0)</f>
        <v>0</v>
      </c>
    </row>
    <row r="255" spans="1:14">
      <c r="A255" s="7" t="s">
        <v>97</v>
      </c>
    </row>
    <row r="256" spans="1:14">
      <c r="A256" t="s">
        <v>54</v>
      </c>
      <c r="J256" t="s">
        <v>54</v>
      </c>
    </row>
    <row r="257" spans="1:14">
      <c r="A257" s="8" t="s">
        <v>6</v>
      </c>
      <c r="B257" s="8" t="s">
        <v>7</v>
      </c>
      <c r="J257" s="8" t="s">
        <v>6</v>
      </c>
      <c r="K257" s="8" t="s">
        <v>7</v>
      </c>
    </row>
    <row r="258" spans="1:14">
      <c r="A258">
        <v>0</v>
      </c>
      <c r="B258">
        <f>A259+1</f>
        <v>42947</v>
      </c>
      <c r="C258">
        <f>IF(REVENU&lt;1,0,IF(REVENU&lt;B258,REVENU,0))</f>
        <v>0</v>
      </c>
      <c r="D258" s="16">
        <v>7.0000000000000007E-2</v>
      </c>
      <c r="E258">
        <f>C258*D258</f>
        <v>0</v>
      </c>
      <c r="J258">
        <v>0</v>
      </c>
      <c r="K258">
        <f>J259+1</f>
        <v>42947</v>
      </c>
      <c r="L258">
        <f>IF(REVENU_RIOGA&lt;1,0,IF(REVENU_RIOGA&lt;K258,REVENU_RIOGA,0))</f>
        <v>0</v>
      </c>
      <c r="M258" s="16">
        <v>7.0000000000000007E-2</v>
      </c>
      <c r="N258">
        <f>L258*M258</f>
        <v>0</v>
      </c>
    </row>
    <row r="259" spans="1:14">
      <c r="A259">
        <v>42946</v>
      </c>
      <c r="C259">
        <f>IF(REVENU&gt;A259,A259,0)</f>
        <v>0</v>
      </c>
      <c r="D259" s="6">
        <f>D258</f>
        <v>7.0000000000000007E-2</v>
      </c>
      <c r="E259">
        <f t="shared" ref="E259:E260" si="47">C259*D259</f>
        <v>0</v>
      </c>
      <c r="J259">
        <v>42946</v>
      </c>
      <c r="L259">
        <f>IF(REVENU_RIOGA&gt;J259,J259,0)</f>
        <v>0</v>
      </c>
      <c r="M259" s="6">
        <f>M258</f>
        <v>7.0000000000000007E-2</v>
      </c>
      <c r="N259">
        <f t="shared" ref="N259:N260" si="48">L259*M259</f>
        <v>0</v>
      </c>
    </row>
    <row r="260" spans="1:14">
      <c r="D260" s="6">
        <f>D258</f>
        <v>7.0000000000000007E-2</v>
      </c>
      <c r="E260">
        <f t="shared" si="47"/>
        <v>0</v>
      </c>
      <c r="M260" s="6">
        <f>M258</f>
        <v>7.0000000000000007E-2</v>
      </c>
      <c r="N260">
        <f t="shared" si="48"/>
        <v>0</v>
      </c>
    </row>
    <row r="261" spans="1:14">
      <c r="C261" s="18">
        <f>SUM(C258:C260)</f>
        <v>0</v>
      </c>
      <c r="E261" s="18">
        <f>ROUND(SUM(E258:E260),0)</f>
        <v>0</v>
      </c>
      <c r="L261" s="18">
        <f>SUM(L258:L260)</f>
        <v>0</v>
      </c>
      <c r="N261" s="18">
        <f>ROUND(SUM(N258:N260),0)</f>
        <v>0</v>
      </c>
    </row>
    <row r="263" spans="1:14">
      <c r="A263" t="s">
        <v>57</v>
      </c>
      <c r="J263" t="s">
        <v>57</v>
      </c>
    </row>
    <row r="264" spans="1:14">
      <c r="A264">
        <f>A260</f>
        <v>0</v>
      </c>
      <c r="B264">
        <f>A265+1</f>
        <v>42947</v>
      </c>
      <c r="C264">
        <v>0</v>
      </c>
      <c r="D264" s="6">
        <v>0.08</v>
      </c>
      <c r="E264">
        <f>ROUND(C264*D264,0)</f>
        <v>0</v>
      </c>
      <c r="J264">
        <f>J260</f>
        <v>0</v>
      </c>
      <c r="K264">
        <f>J265+1</f>
        <v>42947</v>
      </c>
      <c r="L264">
        <v>0</v>
      </c>
      <c r="M264" s="6">
        <f>D264</f>
        <v>0.08</v>
      </c>
      <c r="N264">
        <f>ROUND(L264*M264,0)</f>
        <v>0</v>
      </c>
    </row>
    <row r="265" spans="1:14">
      <c r="A265">
        <f>A259</f>
        <v>42946</v>
      </c>
      <c r="B265">
        <f>A266+1</f>
        <v>185473</v>
      </c>
      <c r="C265">
        <f>IF(AND(REVENU&lt;B265,REVENU&gt;A265),REVENU-A265,0)</f>
        <v>0</v>
      </c>
      <c r="D265" s="6">
        <f>D264</f>
        <v>0.08</v>
      </c>
      <c r="E265">
        <f t="shared" ref="E265:E266" si="49">ROUND(C265*D265,0)</f>
        <v>0</v>
      </c>
      <c r="J265">
        <f>J259</f>
        <v>42946</v>
      </c>
      <c r="K265">
        <f>J266+1</f>
        <v>185473</v>
      </c>
      <c r="L265">
        <f>IF(AND(REVENU_RIOGA&lt;K265,REVENU_RIOGA&gt;J265),REVENU_RIOGA-J265,0)</f>
        <v>0</v>
      </c>
      <c r="M265" s="6">
        <f>M264</f>
        <v>0.08</v>
      </c>
      <c r="N265">
        <f t="shared" ref="N265:N266" si="50">ROUND(L265*M265,0)</f>
        <v>0</v>
      </c>
    </row>
    <row r="266" spans="1:14">
      <c r="A266">
        <f>PASS*4</f>
        <v>185472</v>
      </c>
      <c r="C266">
        <f>IF(REVENU&gt;A266,A266-A265,0)</f>
        <v>0</v>
      </c>
      <c r="D266" s="6">
        <f>D264</f>
        <v>0.08</v>
      </c>
      <c r="E266">
        <f t="shared" si="49"/>
        <v>0</v>
      </c>
      <c r="J266">
        <f>PASS*4</f>
        <v>185472</v>
      </c>
      <c r="L266">
        <f>IF(REVENU_RIOGA&gt;J266,J266-J265,0)</f>
        <v>0</v>
      </c>
      <c r="M266" s="6">
        <f>M264</f>
        <v>0.08</v>
      </c>
      <c r="N266">
        <f t="shared" si="50"/>
        <v>0</v>
      </c>
    </row>
    <row r="267" spans="1:14">
      <c r="C267" s="18">
        <f>SUM(C264:C266)</f>
        <v>0</v>
      </c>
      <c r="D267" s="16">
        <f>D264</f>
        <v>0.08</v>
      </c>
      <c r="E267" s="18">
        <f>SUM(E264:E266)</f>
        <v>0</v>
      </c>
      <c r="L267" s="18">
        <f>SUM(L264:L266)</f>
        <v>0</v>
      </c>
      <c r="M267" s="16">
        <f>M264</f>
        <v>0.08</v>
      </c>
      <c r="N267" s="18">
        <f>SUM(N264:N266)</f>
        <v>0</v>
      </c>
    </row>
    <row r="269" spans="1:14">
      <c r="A269" s="7" t="s">
        <v>32</v>
      </c>
    </row>
    <row r="270" spans="1:14">
      <c r="A270" t="s">
        <v>54</v>
      </c>
    </row>
    <row r="271" spans="1:14">
      <c r="A271" s="8" t="s">
        <v>6</v>
      </c>
      <c r="B271" s="8" t="s">
        <v>7</v>
      </c>
      <c r="J271" s="8" t="s">
        <v>6</v>
      </c>
      <c r="K271" s="8" t="s">
        <v>7</v>
      </c>
    </row>
    <row r="272" spans="1:14">
      <c r="A272">
        <v>0</v>
      </c>
      <c r="B272">
        <f>A273+1</f>
        <v>5333</v>
      </c>
      <c r="C272">
        <f>IF(REVENU&lt;1,0,IF(REVENU&lt;A273,REVENU,0))</f>
        <v>0</v>
      </c>
      <c r="D272" s="16">
        <v>1.2999999999999999E-2</v>
      </c>
      <c r="E272">
        <f>C272*D272</f>
        <v>0</v>
      </c>
      <c r="J272">
        <v>0</v>
      </c>
      <c r="K272">
        <f>J273+1</f>
        <v>5333</v>
      </c>
      <c r="L272">
        <f>IF(REVENU_RIOGA&lt;1,0,IF(REVENU_RIOGA&lt;J273,REVENU_RIOGA,0))</f>
        <v>0</v>
      </c>
      <c r="M272" s="16">
        <v>1.2999999999999999E-2</v>
      </c>
      <c r="N272">
        <f>L272*M272</f>
        <v>0</v>
      </c>
    </row>
    <row r="273" spans="1:14">
      <c r="A273">
        <f>ROUND(PASS*11.5%,0)</f>
        <v>5332</v>
      </c>
      <c r="B273">
        <f>A274+1</f>
        <v>46369</v>
      </c>
      <c r="C273">
        <f>IF(AND(REVENU&gt;A273,REVENU&lt;B273),REVENU,0)</f>
        <v>0</v>
      </c>
      <c r="D273" s="6">
        <f>D272</f>
        <v>1.2999999999999999E-2</v>
      </c>
      <c r="E273">
        <f t="shared" ref="E273:E274" si="51">C273*D273</f>
        <v>0</v>
      </c>
      <c r="J273">
        <f>ROUND(PASS*11.5%,0)</f>
        <v>5332</v>
      </c>
      <c r="K273">
        <f>J274+1</f>
        <v>46369</v>
      </c>
      <c r="L273">
        <f>IF(AND(REVENU_RIOGA&gt;J273,REVENU_RIOGA&lt;K273),REVENU_RIOGA,0)</f>
        <v>0</v>
      </c>
      <c r="M273" s="6">
        <f>M272</f>
        <v>1.2999999999999999E-2</v>
      </c>
      <c r="N273">
        <f t="shared" ref="N273:N274" si="52">L273*M273</f>
        <v>0</v>
      </c>
    </row>
    <row r="274" spans="1:14">
      <c r="A274">
        <f>PASS</f>
        <v>46368</v>
      </c>
      <c r="C274">
        <f>IF(REVENU&gt;A274,A274,0)</f>
        <v>0</v>
      </c>
      <c r="D274" s="6">
        <f>D272</f>
        <v>1.2999999999999999E-2</v>
      </c>
      <c r="E274">
        <f t="shared" si="51"/>
        <v>0</v>
      </c>
      <c r="J274">
        <f>PASS</f>
        <v>46368</v>
      </c>
      <c r="L274">
        <f>IF(REVENU_RIOGA&gt;J274,J274,0)</f>
        <v>0</v>
      </c>
      <c r="M274" s="6">
        <f>M272</f>
        <v>1.2999999999999999E-2</v>
      </c>
      <c r="N274">
        <f t="shared" si="52"/>
        <v>0</v>
      </c>
    </row>
    <row r="275" spans="1:14">
      <c r="C275" s="18">
        <f>SUM(C272:C274)</f>
        <v>0</v>
      </c>
      <c r="D275" s="6">
        <f>D272</f>
        <v>1.2999999999999999E-2</v>
      </c>
      <c r="E275" s="18">
        <f>ROUND(SUM(E272:E274),0)</f>
        <v>0</v>
      </c>
      <c r="L275" s="18">
        <f>SUM(L272:L274)</f>
        <v>0</v>
      </c>
      <c r="M275" s="6">
        <f>M272</f>
        <v>1.2999999999999999E-2</v>
      </c>
      <c r="N275" s="18">
        <f>ROUND(SUM(N272:N274),0)</f>
        <v>0</v>
      </c>
    </row>
    <row r="277" spans="1:14">
      <c r="A277" t="s">
        <v>12</v>
      </c>
    </row>
    <row r="278" spans="1:14">
      <c r="A278" t="s">
        <v>98</v>
      </c>
    </row>
    <row r="279" spans="1:14">
      <c r="A279">
        <f>PASS</f>
        <v>46368</v>
      </c>
      <c r="B279" s="6">
        <v>2.8999999999999998E-3</v>
      </c>
      <c r="C279">
        <f>ROUND(A279*B279,0)</f>
        <v>134</v>
      </c>
    </row>
    <row r="281" spans="1:14">
      <c r="A281" t="s">
        <v>99</v>
      </c>
    </row>
    <row r="282" spans="1:14">
      <c r="A282">
        <f>PASS</f>
        <v>46368</v>
      </c>
      <c r="B282" s="6">
        <v>2.5000000000000001E-3</v>
      </c>
      <c r="C282">
        <f>ROUND(A282*B282,0)</f>
        <v>116</v>
      </c>
    </row>
    <row r="284" spans="1:14" s="14" customFormat="1" ht="21">
      <c r="A284" s="14" t="s">
        <v>131</v>
      </c>
    </row>
    <row r="286" spans="1:14">
      <c r="A286" s="7" t="s">
        <v>97</v>
      </c>
    </row>
    <row r="287" spans="1:14">
      <c r="A287" t="s">
        <v>54</v>
      </c>
      <c r="J287" t="s">
        <v>54</v>
      </c>
    </row>
    <row r="288" spans="1:14">
      <c r="A288" s="8" t="s">
        <v>6</v>
      </c>
      <c r="B288" s="8" t="s">
        <v>7</v>
      </c>
      <c r="J288" s="8" t="s">
        <v>6</v>
      </c>
      <c r="K288" s="8" t="s">
        <v>7</v>
      </c>
    </row>
    <row r="289" spans="1:14">
      <c r="A289">
        <v>0</v>
      </c>
      <c r="B289">
        <f>A290+1</f>
        <v>46369</v>
      </c>
      <c r="C289">
        <f>IF(REVENU&lt;1,0,IF(REVENU&lt;B289,REVENU,0))</f>
        <v>0</v>
      </c>
      <c r="D289" s="16">
        <v>0.14000000000000001</v>
      </c>
      <c r="E289">
        <f>C289*D289</f>
        <v>0</v>
      </c>
      <c r="J289">
        <v>0</v>
      </c>
      <c r="K289">
        <f>J290+1</f>
        <v>46369</v>
      </c>
      <c r="L289">
        <f>IF(REVENU_RIOGA&lt;1,0,IF(REVENU_RIOGA&lt;K289,REVENU_RIOGA,0))</f>
        <v>0</v>
      </c>
      <c r="M289" s="16">
        <v>0.14000000000000001</v>
      </c>
      <c r="N289">
        <f>L289*M289</f>
        <v>0</v>
      </c>
    </row>
    <row r="290" spans="1:14">
      <c r="A290">
        <f>PASS</f>
        <v>46368</v>
      </c>
      <c r="B290">
        <f>A291+1</f>
        <v>185473</v>
      </c>
      <c r="C290">
        <f>IF(AND(REVENU&gt;A290,REVENU&lt;B290),REVENU-A290,0)</f>
        <v>0</v>
      </c>
      <c r="D290" s="6">
        <f>D289</f>
        <v>0.14000000000000001</v>
      </c>
      <c r="E290">
        <f t="shared" ref="E290:E291" si="53">C290*D290</f>
        <v>0</v>
      </c>
      <c r="J290">
        <f>PASS</f>
        <v>46368</v>
      </c>
      <c r="K290">
        <f>J291+1</f>
        <v>185473</v>
      </c>
      <c r="L290">
        <f>IF(AND(REVENU_RIOGA&gt;J290,REVENU_RIOGA&lt;K290),REVENU_RIOGA-J290,0)</f>
        <v>0</v>
      </c>
      <c r="M290" s="6">
        <f>M289</f>
        <v>0.14000000000000001</v>
      </c>
      <c r="N290">
        <f t="shared" ref="N290:N291" si="54">L290*M290</f>
        <v>0</v>
      </c>
    </row>
    <row r="291" spans="1:14">
      <c r="A291">
        <f>PASS*4</f>
        <v>185472</v>
      </c>
      <c r="C291">
        <f>IF(REVENU&gt;A291,A291-A290,0)</f>
        <v>0</v>
      </c>
      <c r="D291" s="6">
        <f>D289</f>
        <v>0.14000000000000001</v>
      </c>
      <c r="E291">
        <f t="shared" si="53"/>
        <v>0</v>
      </c>
      <c r="J291">
        <f>PASS*4</f>
        <v>185472</v>
      </c>
      <c r="L291">
        <f>IF(REVENU_RIOGA&gt;J291,J291-J290,0)</f>
        <v>0</v>
      </c>
      <c r="M291" s="6">
        <f>M289</f>
        <v>0.14000000000000001</v>
      </c>
      <c r="N291">
        <f t="shared" si="54"/>
        <v>0</v>
      </c>
    </row>
    <row r="292" spans="1:14">
      <c r="D292" s="6"/>
      <c r="M292" s="6"/>
    </row>
    <row r="293" spans="1:14">
      <c r="C293" s="18">
        <f>SUM(C289:C291)</f>
        <v>0</v>
      </c>
      <c r="E293" s="18">
        <f>ROUND(SUM(E289:E291),0)</f>
        <v>0</v>
      </c>
      <c r="L293" s="18">
        <f>SUM(L289:L291)</f>
        <v>0</v>
      </c>
      <c r="N293" s="18">
        <f>ROUND(SUM(N289:N291),0)</f>
        <v>0</v>
      </c>
    </row>
    <row r="296" spans="1:14" ht="21">
      <c r="A296" s="14" t="s">
        <v>177</v>
      </c>
    </row>
    <row r="298" spans="1:14">
      <c r="A298" s="7" t="s">
        <v>178</v>
      </c>
    </row>
    <row r="299" spans="1:14">
      <c r="A299">
        <f>S7</f>
        <v>0</v>
      </c>
    </row>
    <row r="300" spans="1:14">
      <c r="A300">
        <v>1</v>
      </c>
      <c r="B300">
        <v>337</v>
      </c>
    </row>
    <row r="301" spans="1:14">
      <c r="A301">
        <v>2</v>
      </c>
      <c r="B301">
        <v>677</v>
      </c>
    </row>
    <row r="302" spans="1:14">
      <c r="A302">
        <v>3</v>
      </c>
      <c r="B302">
        <v>1062</v>
      </c>
    </row>
    <row r="303" spans="1:14">
      <c r="A303">
        <v>4</v>
      </c>
      <c r="B303">
        <v>1446</v>
      </c>
    </row>
    <row r="304" spans="1:14">
      <c r="A304">
        <v>5</v>
      </c>
      <c r="B304">
        <v>1446</v>
      </c>
    </row>
    <row r="305" spans="1:14">
      <c r="A305">
        <v>6</v>
      </c>
      <c r="B305">
        <v>1845</v>
      </c>
    </row>
    <row r="306" spans="1:14">
      <c r="A306" t="s">
        <v>35</v>
      </c>
      <c r="B306" t="e">
        <f>VLOOKUP(A299,A300:B305,2,FALSE)</f>
        <v>#N/A</v>
      </c>
    </row>
    <row r="307" spans="1:14">
      <c r="A307" t="s">
        <v>36</v>
      </c>
      <c r="J307" t="s">
        <v>36</v>
      </c>
    </row>
    <row r="308" spans="1:14">
      <c r="A308">
        <v>0</v>
      </c>
      <c r="B308">
        <f>A309-1</f>
        <v>297548</v>
      </c>
      <c r="C308">
        <f>IF(REVENU&lt;1,0,IF(REVENU&lt;A309,REVENU,0))</f>
        <v>0</v>
      </c>
      <c r="J308">
        <v>0</v>
      </c>
      <c r="K308">
        <f>J309-1</f>
        <v>297548</v>
      </c>
      <c r="L308">
        <f>IF(REVENU_RIOGA&lt;1,0,IF(REVENU_RIOGA&lt;J309,REVENU_RIOGA,0))</f>
        <v>0</v>
      </c>
    </row>
    <row r="309" spans="1:14">
      <c r="A309">
        <v>297549</v>
      </c>
      <c r="C309">
        <f>IF(REVENU&gt;B308,A309,0)</f>
        <v>0</v>
      </c>
      <c r="J309">
        <v>297549</v>
      </c>
      <c r="L309">
        <f>IF(REVENU_RIOGA&gt;K308,J309,0)</f>
        <v>0</v>
      </c>
    </row>
    <row r="310" spans="1:14">
      <c r="C310" s="18">
        <f>SUM(C308:C309)</f>
        <v>0</v>
      </c>
      <c r="D310" s="16">
        <v>3.1E-2</v>
      </c>
      <c r="E310" s="18">
        <f>ROUND(C310*D310,0)</f>
        <v>0</v>
      </c>
      <c r="L310" s="18">
        <f>SUM(L308:L309)</f>
        <v>0</v>
      </c>
      <c r="M310" s="16">
        <v>3.1E-2</v>
      </c>
      <c r="N310" s="18">
        <f>ROUND(L310*M310,0)</f>
        <v>0</v>
      </c>
    </row>
    <row r="312" spans="1:14">
      <c r="A312" s="7" t="s">
        <v>32</v>
      </c>
    </row>
    <row r="313" spans="1:14">
      <c r="A313">
        <f>A299</f>
        <v>0</v>
      </c>
    </row>
    <row r="314" spans="1:14">
      <c r="A314">
        <v>1</v>
      </c>
      <c r="B314">
        <v>65</v>
      </c>
    </row>
    <row r="315" spans="1:14">
      <c r="A315">
        <v>2</v>
      </c>
      <c r="B315">
        <v>65</v>
      </c>
    </row>
    <row r="316" spans="1:14">
      <c r="A316">
        <v>3</v>
      </c>
      <c r="B316">
        <v>65</v>
      </c>
    </row>
    <row r="317" spans="1:14">
      <c r="A317">
        <v>4</v>
      </c>
      <c r="B317">
        <v>65</v>
      </c>
    </row>
    <row r="318" spans="1:14">
      <c r="A318">
        <v>5</v>
      </c>
      <c r="B318">
        <v>162</v>
      </c>
    </row>
    <row r="319" spans="1:14">
      <c r="A319">
        <v>6</v>
      </c>
      <c r="B319">
        <v>162</v>
      </c>
    </row>
    <row r="320" spans="1:14">
      <c r="A320" t="s">
        <v>35</v>
      </c>
      <c r="B320" t="e">
        <f>VLOOKUP(A313,A314:B319,2,FALSE)</f>
        <v>#N/A</v>
      </c>
    </row>
    <row r="322" spans="1:14">
      <c r="A322" s="7" t="s">
        <v>46</v>
      </c>
    </row>
    <row r="323" spans="1:14">
      <c r="A323">
        <f>REVENU</f>
        <v>0</v>
      </c>
    </row>
    <row r="324" spans="1:14">
      <c r="A324" t="s">
        <v>185</v>
      </c>
      <c r="B324">
        <f>W5</f>
        <v>0</v>
      </c>
    </row>
    <row r="325" spans="1:14">
      <c r="B325">
        <f>A326-1</f>
        <v>42507</v>
      </c>
      <c r="C325">
        <f>IF(REVENU&lt;1,0,IF(REVENU&gt;B325,B325,REVENU))</f>
        <v>0</v>
      </c>
      <c r="D325" t="e">
        <f>C337</f>
        <v>#N/A</v>
      </c>
      <c r="E325" t="e">
        <f>ROUND(C325*D325,0)</f>
        <v>#N/A</v>
      </c>
      <c r="K325">
        <f>J326-1</f>
        <v>42507</v>
      </c>
      <c r="L325">
        <f>IF(REVENU_RIOGA&lt;1,0,IF(REVENU_RIOGA&gt;K325,K325,REVENU_RIOGA))</f>
        <v>0</v>
      </c>
      <c r="M325" t="e">
        <f>D325</f>
        <v>#N/A</v>
      </c>
      <c r="N325" t="e">
        <f>ROUND(L325*M325,0)</f>
        <v>#N/A</v>
      </c>
    </row>
    <row r="326" spans="1:14">
      <c r="A326">
        <v>42508</v>
      </c>
      <c r="B326">
        <f t="shared" ref="B326:B329" si="55">A327-1</f>
        <v>85014</v>
      </c>
      <c r="C326">
        <f>IF(REVENU&lt;A326,0,IF(REVENU&gt;B326,A327-A326,IF(REVENU&lt;A327,REVENU-B325)))</f>
        <v>0</v>
      </c>
      <c r="D326" t="e">
        <f>D337</f>
        <v>#N/A</v>
      </c>
      <c r="E326" t="e">
        <f t="shared" ref="E326:E329" si="56">ROUND(C326*D326,0)</f>
        <v>#N/A</v>
      </c>
      <c r="J326">
        <v>42508</v>
      </c>
      <c r="K326">
        <f t="shared" ref="K326:K329" si="57">J327-1</f>
        <v>85014</v>
      </c>
      <c r="L326">
        <f>IF(REVENU_RIOGA&lt;J326,0,IF(REVENU_RIOGA&gt;K326,J327-J326,IF(REVENU_RIOGA&lt;J327,REVENU_RIOGA-K325)))</f>
        <v>0</v>
      </c>
      <c r="M326" t="e">
        <f t="shared" ref="M326:M329" si="58">D326</f>
        <v>#N/A</v>
      </c>
      <c r="N326" t="e">
        <f t="shared" ref="N326:N329" si="59">ROUND(L326*M326,0)</f>
        <v>#N/A</v>
      </c>
    </row>
    <row r="327" spans="1:14">
      <c r="A327">
        <v>85015</v>
      </c>
      <c r="B327">
        <f t="shared" si="55"/>
        <v>127521</v>
      </c>
      <c r="C327">
        <f>IF(REVENU&lt;A327,0,IF(REVENU&gt;B327,A328-A327,IF(REVENU&lt;A328,REVENU-B326)))</f>
        <v>0</v>
      </c>
      <c r="D327" t="e">
        <f>E337</f>
        <v>#N/A</v>
      </c>
      <c r="E327" t="e">
        <f t="shared" si="56"/>
        <v>#N/A</v>
      </c>
      <c r="J327">
        <v>85015</v>
      </c>
      <c r="K327">
        <f t="shared" si="57"/>
        <v>127521</v>
      </c>
      <c r="L327">
        <f>IF(REVENU_RIOGA&lt;J327,0,IF(REVENU_RIOGA&gt;K327,J328-J327,IF(REVENU_RIOGA&lt;J328,REVENU_RIOGA-K326)))</f>
        <v>0</v>
      </c>
      <c r="M327" t="e">
        <f t="shared" si="58"/>
        <v>#N/A</v>
      </c>
      <c r="N327" t="e">
        <f t="shared" si="59"/>
        <v>#N/A</v>
      </c>
    </row>
    <row r="328" spans="1:14">
      <c r="A328">
        <v>127522</v>
      </c>
      <c r="B328">
        <f t="shared" si="55"/>
        <v>170028</v>
      </c>
      <c r="C328">
        <f>IF(REVENU&lt;A328,0,IF(REVENU&gt;B328,A329-A328,IF(REVENU&lt;A329,REVENU-B327)))</f>
        <v>0</v>
      </c>
      <c r="D328" t="e">
        <f>F337</f>
        <v>#N/A</v>
      </c>
      <c r="E328" t="e">
        <f t="shared" si="56"/>
        <v>#N/A</v>
      </c>
      <c r="J328">
        <v>127522</v>
      </c>
      <c r="K328">
        <f t="shared" si="57"/>
        <v>170028</v>
      </c>
      <c r="L328">
        <f>IF(REVENU_RIOGA&lt;J328,0,IF(REVENU_RIOGA&gt;K328,J329-J328,IF(REVENU_RIOGA&lt;J329,REVENU_RIOGA-K327)))</f>
        <v>0</v>
      </c>
      <c r="M328" t="e">
        <f t="shared" si="58"/>
        <v>#N/A</v>
      </c>
      <c r="N328" t="e">
        <f t="shared" si="59"/>
        <v>#N/A</v>
      </c>
    </row>
    <row r="329" spans="1:14">
      <c r="A329">
        <v>170029</v>
      </c>
      <c r="B329">
        <f t="shared" si="55"/>
        <v>212534</v>
      </c>
      <c r="C329">
        <f>IF(REVENU&lt;A329,0,IF(REVENU&gt;B329,A330-A329,IF(REVENU&lt;A330,REVENU-B328)))</f>
        <v>0</v>
      </c>
      <c r="D329" t="e">
        <f>G337</f>
        <v>#N/A</v>
      </c>
      <c r="E329" t="e">
        <f t="shared" si="56"/>
        <v>#N/A</v>
      </c>
      <c r="J329">
        <v>170029</v>
      </c>
      <c r="K329">
        <f t="shared" si="57"/>
        <v>212534</v>
      </c>
      <c r="L329">
        <f>IF(REVENU_RIOGA&lt;J329,0,IF(REVENU_RIOGA&gt;K329,J330-J329,IF(REVENU_RIOGA&lt;J330,REVENU_RIOGA-K328)))</f>
        <v>0</v>
      </c>
      <c r="M329" t="e">
        <f t="shared" si="58"/>
        <v>#N/A</v>
      </c>
      <c r="N329" t="e">
        <f t="shared" si="59"/>
        <v>#N/A</v>
      </c>
    </row>
    <row r="330" spans="1:14">
      <c r="A330">
        <v>212535</v>
      </c>
      <c r="C330" t="str">
        <f>"Classe "&amp;IF(B324=4,"3 +",B324)</f>
        <v>Classe 0</v>
      </c>
      <c r="E330" t="e">
        <f>SUM(E325:E329)</f>
        <v>#N/A</v>
      </c>
      <c r="J330">
        <v>212535</v>
      </c>
      <c r="L330" t="str">
        <f>"Classe "&amp;IF(B324=4,"3 +",B324)</f>
        <v>Classe 0</v>
      </c>
      <c r="N330" t="e">
        <f>SUM(N325:N329)</f>
        <v>#N/A</v>
      </c>
    </row>
    <row r="332" spans="1:14">
      <c r="A332">
        <f>B324</f>
        <v>0</v>
      </c>
      <c r="C332" t="s">
        <v>190</v>
      </c>
      <c r="D332" t="s">
        <v>191</v>
      </c>
      <c r="E332" t="s">
        <v>192</v>
      </c>
      <c r="F332" t="s">
        <v>193</v>
      </c>
      <c r="G332" t="s">
        <v>194</v>
      </c>
    </row>
    <row r="333" spans="1:14">
      <c r="A333" t="s">
        <v>186</v>
      </c>
      <c r="B333">
        <v>1</v>
      </c>
      <c r="C333" s="4">
        <v>0.05</v>
      </c>
      <c r="D333" s="6">
        <v>9.6000000000000002E-2</v>
      </c>
      <c r="E333" s="6">
        <v>0.112</v>
      </c>
      <c r="F333" s="6">
        <v>0.128</v>
      </c>
      <c r="G333" s="6">
        <v>0.14399999999999999</v>
      </c>
    </row>
    <row r="334" spans="1:14">
      <c r="A334" t="s">
        <v>187</v>
      </c>
      <c r="B334">
        <v>2</v>
      </c>
      <c r="C334" s="6">
        <v>5.5E-2</v>
      </c>
      <c r="D334" s="6">
        <v>0.106</v>
      </c>
      <c r="E334" s="6">
        <v>0.1245</v>
      </c>
      <c r="F334" s="6">
        <v>0.14299999999999999</v>
      </c>
      <c r="G334" s="6">
        <v>0.1615</v>
      </c>
    </row>
    <row r="335" spans="1:14">
      <c r="A335" t="s">
        <v>188</v>
      </c>
      <c r="B335">
        <v>3</v>
      </c>
      <c r="C335" s="6">
        <v>0.06</v>
      </c>
      <c r="D335" s="6">
        <v>0.11600000000000001</v>
      </c>
      <c r="E335" s="6">
        <v>0.13700000000000001</v>
      </c>
      <c r="F335" s="6">
        <v>0.158</v>
      </c>
      <c r="G335" s="6">
        <v>0.17899999999999999</v>
      </c>
    </row>
    <row r="336" spans="1:14">
      <c r="A336" t="s">
        <v>189</v>
      </c>
      <c r="B336">
        <v>4</v>
      </c>
      <c r="C336" s="6">
        <v>0.06</v>
      </c>
      <c r="D336" s="6">
        <v>0.11600000000000001</v>
      </c>
      <c r="E336" s="6">
        <v>0.13700000000000001</v>
      </c>
      <c r="F336" s="6">
        <v>0.158</v>
      </c>
      <c r="G336" s="6">
        <v>0.20399999999999999</v>
      </c>
    </row>
    <row r="337" spans="3:7">
      <c r="C337" t="e">
        <f>VLOOKUP($A$332,$B$333:$G$336,2,FALSE)</f>
        <v>#N/A</v>
      </c>
      <c r="D337" t="e">
        <f>VLOOKUP($A$332,$B$333:$G$336,3,FALSE)</f>
        <v>#N/A</v>
      </c>
      <c r="E337" t="e">
        <f>VLOOKUP($A$332,$B$333:$G$336,4,FALSE)</f>
        <v>#N/A</v>
      </c>
      <c r="F337" t="e">
        <f>VLOOKUP($A$332,$B$333:$G$336,5,FALSE)</f>
        <v>#N/A</v>
      </c>
      <c r="G337" t="e">
        <f>VLOOKUP($A$332,$B$333:$G$336,6,FALSE)</f>
        <v>#N/A</v>
      </c>
    </row>
  </sheetData>
  <mergeCells count="1">
    <mergeCell ref="A23:H23"/>
  </mergeCells>
  <phoneticPr fontId="13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heckBox1">
          <controlPr defaultSize="0" autoLine="0" r:id="rId5">
            <anchor moveWithCells="1">
              <from>
                <xdr:col>6</xdr:col>
                <xdr:colOff>495300</xdr:colOff>
                <xdr:row>3</xdr:row>
                <xdr:rowOff>57150</xdr:rowOff>
              </from>
              <to>
                <xdr:col>7</xdr:col>
                <xdr:colOff>123825</xdr:colOff>
                <xdr:row>5</xdr:row>
                <xdr:rowOff>0</xdr:rowOff>
              </to>
            </anchor>
          </controlPr>
        </control>
      </mc:Choice>
      <mc:Fallback>
        <control shapeId="1025" r:id="rId4" name="CheckBox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4"/>
  <sheetViews>
    <sheetView workbookViewId="0">
      <selection activeCell="J12" sqref="J12"/>
    </sheetView>
  </sheetViews>
  <sheetFormatPr baseColWidth="10" defaultRowHeight="15"/>
  <cols>
    <col min="1" max="1" width="37.140625" bestFit="1" customWidth="1"/>
    <col min="7" max="7" width="13.140625" customWidth="1"/>
    <col min="8" max="8" width="3.28515625" customWidth="1"/>
    <col min="9" max="9" width="25.42578125" bestFit="1" customWidth="1"/>
    <col min="15" max="15" width="14.7109375" customWidth="1"/>
  </cols>
  <sheetData>
    <row r="2" spans="1:15">
      <c r="A2" s="126" t="s">
        <v>25</v>
      </c>
      <c r="B2" s="126"/>
      <c r="C2" s="126"/>
      <c r="D2" s="126"/>
      <c r="E2" s="126"/>
      <c r="F2" s="126"/>
      <c r="G2" s="126"/>
      <c r="I2" s="126" t="s">
        <v>58</v>
      </c>
      <c r="J2" s="126"/>
      <c r="K2" s="126"/>
      <c r="L2" s="126"/>
      <c r="M2" s="126"/>
      <c r="N2" s="126"/>
      <c r="O2" s="126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100</v>
      </c>
      <c r="B4">
        <f>'Chiffres '!C231</f>
        <v>0</v>
      </c>
      <c r="C4" s="6">
        <f>'Chiffres '!F231</f>
        <v>0</v>
      </c>
      <c r="D4">
        <f t="shared" ref="D4:D14" si="0">ROUND(B4*C4,0)</f>
        <v>0</v>
      </c>
      <c r="G4" s="19">
        <f>D4</f>
        <v>0</v>
      </c>
      <c r="I4" t="s">
        <v>100</v>
      </c>
      <c r="J4">
        <f>'Chiffres '!L231</f>
        <v>0</v>
      </c>
      <c r="K4" s="6">
        <f>'Chiffres '!O231</f>
        <v>0</v>
      </c>
      <c r="L4">
        <f t="shared" ref="L4:L14" si="1">ROUND(J4*K4,0)</f>
        <v>0</v>
      </c>
      <c r="O4" s="19">
        <f>L4</f>
        <v>0</v>
      </c>
    </row>
    <row r="5" spans="1:15">
      <c r="A5" t="s">
        <v>101</v>
      </c>
      <c r="B5">
        <f>'Chiffres '!C234</f>
        <v>0</v>
      </c>
      <c r="C5" s="6">
        <f>'Chiffres '!D234</f>
        <v>6.5000000000000002E-2</v>
      </c>
      <c r="D5">
        <f t="shared" si="0"/>
        <v>0</v>
      </c>
      <c r="G5" s="19">
        <f>D5</f>
        <v>0</v>
      </c>
      <c r="I5" t="s">
        <v>101</v>
      </c>
      <c r="J5">
        <f>'Chiffres '!L234</f>
        <v>0</v>
      </c>
      <c r="K5" s="6">
        <f>'Chiffres '!M234</f>
        <v>6.5000000000000002E-2</v>
      </c>
      <c r="L5">
        <f t="shared" si="1"/>
        <v>0</v>
      </c>
      <c r="O5" s="19">
        <f>L5</f>
        <v>0</v>
      </c>
    </row>
    <row r="6" spans="1:15">
      <c r="A6" t="s">
        <v>20</v>
      </c>
      <c r="B6">
        <f>'Chiffres '!C241</f>
        <v>18547</v>
      </c>
      <c r="C6" s="15">
        <f>'Chiffres '!E241</f>
        <v>5.0000000000000001E-3</v>
      </c>
      <c r="D6">
        <f t="shared" si="0"/>
        <v>93</v>
      </c>
      <c r="G6" s="19">
        <f>D6-F6</f>
        <v>93</v>
      </c>
      <c r="I6" t="s">
        <v>20</v>
      </c>
      <c r="J6">
        <f>'Chiffres '!L241</f>
        <v>18547</v>
      </c>
      <c r="K6" s="6">
        <f>'Chiffres '!N241</f>
        <v>5.0000000000000001E-3</v>
      </c>
      <c r="L6">
        <f t="shared" si="1"/>
        <v>93</v>
      </c>
      <c r="O6" s="19">
        <f>L6-N6</f>
        <v>93</v>
      </c>
    </row>
    <row r="7" spans="1:15">
      <c r="A7" t="s">
        <v>102</v>
      </c>
      <c r="B7">
        <f>'Chiffres '!C249</f>
        <v>5243</v>
      </c>
      <c r="C7" s="6">
        <f>'Chiffres '!D246</f>
        <v>0.17749999999999999</v>
      </c>
      <c r="D7">
        <f t="shared" si="0"/>
        <v>931</v>
      </c>
      <c r="G7" s="19">
        <f t="shared" ref="G7:G12" si="2">D7</f>
        <v>931</v>
      </c>
      <c r="I7" t="s">
        <v>102</v>
      </c>
      <c r="J7">
        <f>'Chiffres '!L249</f>
        <v>5243</v>
      </c>
      <c r="K7" s="6">
        <f>'Chiffres '!M246</f>
        <v>0.17749999999999999</v>
      </c>
      <c r="L7">
        <f t="shared" si="1"/>
        <v>931</v>
      </c>
      <c r="O7" s="19">
        <f>L7</f>
        <v>931</v>
      </c>
    </row>
    <row r="8" spans="1:15">
      <c r="A8" t="s">
        <v>103</v>
      </c>
      <c r="B8">
        <f>'Chiffres '!C252</f>
        <v>0</v>
      </c>
      <c r="C8" s="6">
        <f>'Chiffres '!D252</f>
        <v>6.0000000000000001E-3</v>
      </c>
      <c r="D8">
        <f t="shared" si="0"/>
        <v>0</v>
      </c>
      <c r="G8" s="19">
        <f t="shared" si="2"/>
        <v>0</v>
      </c>
      <c r="I8" t="s">
        <v>103</v>
      </c>
      <c r="J8">
        <f>'Chiffres '!L252</f>
        <v>0</v>
      </c>
      <c r="K8" s="6">
        <f>'Chiffres '!M252</f>
        <v>6.0000000000000001E-3</v>
      </c>
      <c r="L8">
        <f t="shared" si="1"/>
        <v>0</v>
      </c>
      <c r="O8" s="19">
        <f>L8</f>
        <v>0</v>
      </c>
    </row>
    <row r="9" spans="1:15">
      <c r="A9" t="s">
        <v>104</v>
      </c>
      <c r="B9">
        <f>'Chiffres '!C261</f>
        <v>0</v>
      </c>
      <c r="C9" s="6">
        <f>'Chiffres '!D258</f>
        <v>7.0000000000000007E-2</v>
      </c>
      <c r="D9">
        <f t="shared" si="0"/>
        <v>0</v>
      </c>
      <c r="G9" s="19">
        <f t="shared" si="2"/>
        <v>0</v>
      </c>
      <c r="I9" t="s">
        <v>104</v>
      </c>
      <c r="J9">
        <f>'Chiffres '!L261</f>
        <v>0</v>
      </c>
      <c r="K9" s="6">
        <f>'Chiffres '!M258</f>
        <v>7.0000000000000007E-2</v>
      </c>
      <c r="L9">
        <f t="shared" si="1"/>
        <v>0</v>
      </c>
      <c r="O9" s="19">
        <f>L9</f>
        <v>0</v>
      </c>
    </row>
    <row r="10" spans="1:15">
      <c r="A10" t="s">
        <v>105</v>
      </c>
      <c r="B10">
        <f>'Chiffres '!C267</f>
        <v>0</v>
      </c>
      <c r="C10" s="6">
        <f>'Chiffres '!D267</f>
        <v>0.08</v>
      </c>
      <c r="D10">
        <f t="shared" si="0"/>
        <v>0</v>
      </c>
      <c r="G10" s="19">
        <f t="shared" si="2"/>
        <v>0</v>
      </c>
      <c r="I10" t="s">
        <v>105</v>
      </c>
      <c r="J10">
        <f>'Chiffres '!L267</f>
        <v>0</v>
      </c>
      <c r="K10" s="6">
        <f>'Chiffres '!M267</f>
        <v>0.08</v>
      </c>
      <c r="L10">
        <f t="shared" si="1"/>
        <v>0</v>
      </c>
      <c r="O10" s="19">
        <f>L10</f>
        <v>0</v>
      </c>
    </row>
    <row r="11" spans="1:15">
      <c r="A11" t="s">
        <v>32</v>
      </c>
      <c r="B11">
        <f>'Chiffres '!C275</f>
        <v>0</v>
      </c>
      <c r="C11" s="6">
        <f>'Chiffres '!D275</f>
        <v>1.2999999999999999E-2</v>
      </c>
      <c r="D11">
        <f t="shared" si="0"/>
        <v>0</v>
      </c>
      <c r="G11" s="19">
        <f t="shared" si="2"/>
        <v>0</v>
      </c>
      <c r="I11" t="s">
        <v>32</v>
      </c>
      <c r="J11">
        <f>'Chiffres '!L275</f>
        <v>0</v>
      </c>
      <c r="K11" s="6">
        <f>'Chiffres '!M275</f>
        <v>1.2999999999999999E-2</v>
      </c>
      <c r="L11">
        <f t="shared" si="1"/>
        <v>0</v>
      </c>
      <c r="O11" s="19">
        <f>G11</f>
        <v>0</v>
      </c>
    </row>
    <row r="12" spans="1:15">
      <c r="A12" t="s">
        <v>21</v>
      </c>
      <c r="B12" s="86">
        <f>'8-PAM'!B7</f>
        <v>0</v>
      </c>
      <c r="C12" s="6">
        <f>'9-CIPAV'!C6</f>
        <v>0</v>
      </c>
      <c r="D12">
        <f t="shared" si="0"/>
        <v>0</v>
      </c>
      <c r="G12" s="19">
        <f t="shared" si="2"/>
        <v>0</v>
      </c>
      <c r="I12" t="s">
        <v>21</v>
      </c>
      <c r="J12">
        <f>'9-CIPAV'!J6</f>
        <v>0</v>
      </c>
      <c r="K12" s="6">
        <f>'9-CIPAV'!K6</f>
        <v>0</v>
      </c>
      <c r="L12">
        <f t="shared" si="1"/>
        <v>0</v>
      </c>
      <c r="O12" s="19">
        <f>L12</f>
        <v>0</v>
      </c>
    </row>
    <row r="13" spans="1:15">
      <c r="A13" t="s">
        <v>12</v>
      </c>
      <c r="B13">
        <f>'Chiffres '!A279</f>
        <v>46368</v>
      </c>
      <c r="C13" s="6">
        <f>'Chiffres '!B279</f>
        <v>2.8999999999999998E-3</v>
      </c>
      <c r="D13">
        <f t="shared" si="0"/>
        <v>134</v>
      </c>
      <c r="G13" s="19">
        <f t="shared" ref="G13:G14" si="3">D13</f>
        <v>134</v>
      </c>
      <c r="I13" t="s">
        <v>12</v>
      </c>
      <c r="J13">
        <f>B13</f>
        <v>46368</v>
      </c>
      <c r="K13" s="6">
        <f>C13</f>
        <v>2.8999999999999998E-3</v>
      </c>
      <c r="L13">
        <f t="shared" si="1"/>
        <v>134</v>
      </c>
      <c r="O13" s="19">
        <f t="shared" ref="O13:O14" si="4">L13</f>
        <v>134</v>
      </c>
    </row>
    <row r="14" spans="1:15">
      <c r="A14" t="s">
        <v>11</v>
      </c>
      <c r="B14" s="86">
        <f>'8-PAM'!B10</f>
        <v>0</v>
      </c>
      <c r="C14" s="6">
        <f>'9-CIPAV'!C8</f>
        <v>9.7000000000000003E-2</v>
      </c>
      <c r="D14">
        <f t="shared" si="0"/>
        <v>0</v>
      </c>
      <c r="G14" s="19">
        <f t="shared" si="3"/>
        <v>0</v>
      </c>
      <c r="I14" t="s">
        <v>11</v>
      </c>
      <c r="J14">
        <f>'9-CIPAV'!J8</f>
        <v>0</v>
      </c>
      <c r="K14" s="6">
        <f>'9-CIPAV'!K8</f>
        <v>9.7000000000000003E-2</v>
      </c>
      <c r="L14">
        <f t="shared" si="1"/>
        <v>0</v>
      </c>
      <c r="O14" s="19">
        <f t="shared" si="4"/>
        <v>0</v>
      </c>
    </row>
    <row r="15" spans="1:15">
      <c r="A15" s="24" t="s">
        <v>24</v>
      </c>
      <c r="B15" s="24"/>
      <c r="C15" s="24"/>
      <c r="D15" s="24"/>
      <c r="E15" s="24"/>
      <c r="F15" s="24"/>
      <c r="G15" s="23">
        <f>SUM(G4:G14)</f>
        <v>1158</v>
      </c>
      <c r="I15" s="24" t="str">
        <f>A15</f>
        <v>TOTAL URSSAF</v>
      </c>
      <c r="J15" s="24"/>
      <c r="K15" s="24"/>
      <c r="L15" s="24"/>
      <c r="M15" s="24"/>
      <c r="N15" s="24"/>
      <c r="O15" s="23">
        <f>SUM(O4:O14)</f>
        <v>1158</v>
      </c>
    </row>
    <row r="17" spans="1:7" ht="15.75">
      <c r="A17" s="27" t="s">
        <v>127</v>
      </c>
      <c r="B17" s="26"/>
      <c r="C17" s="26"/>
      <c r="D17" s="26"/>
      <c r="E17" s="26"/>
      <c r="F17" s="26"/>
      <c r="G17" s="25">
        <f>G15-O15</f>
        <v>0</v>
      </c>
    </row>
    <row r="19" spans="1:7" ht="15.75">
      <c r="A19" s="27" t="s">
        <v>128</v>
      </c>
      <c r="B19" s="26"/>
      <c r="C19" s="26"/>
      <c r="D19" s="26"/>
      <c r="E19" s="26"/>
      <c r="F19" s="26"/>
      <c r="G19" s="25">
        <f>-'Chiffres '!L1</f>
        <v>0</v>
      </c>
    </row>
    <row r="21" spans="1:7" ht="15.75">
      <c r="A21" s="27" t="s">
        <v>129</v>
      </c>
      <c r="B21" s="26"/>
      <c r="C21" s="26"/>
      <c r="D21" s="26"/>
      <c r="E21" s="26"/>
      <c r="F21" s="26"/>
      <c r="G21" s="25">
        <f>RIOGA</f>
        <v>0</v>
      </c>
    </row>
    <row r="22" spans="1:7">
      <c r="A22" t="str">
        <f>"- SURCOÛT CHARGES SOCIALES"</f>
        <v>- SURCOÛT CHARGES SOCIALES</v>
      </c>
      <c r="G22" s="49">
        <f>G17</f>
        <v>0</v>
      </c>
    </row>
    <row r="23" spans="1:7">
      <c r="A23" t="str">
        <f>"- SURCOÛT IR"</f>
        <v>- SURCOÛT IR</v>
      </c>
      <c r="G23" s="49">
        <f>+G19</f>
        <v>0</v>
      </c>
    </row>
    <row r="24" spans="1:7">
      <c r="A24" t="s">
        <v>130</v>
      </c>
      <c r="G24" s="49">
        <f>SUM(G21:G23)</f>
        <v>0</v>
      </c>
    </row>
  </sheetData>
  <mergeCells count="2">
    <mergeCell ref="A2:G2"/>
    <mergeCell ref="I2:O2"/>
  </mergeCells>
  <phoneticPr fontId="1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"/>
  <sheetViews>
    <sheetView workbookViewId="0">
      <selection activeCell="N19" sqref="N19"/>
    </sheetView>
  </sheetViews>
  <sheetFormatPr baseColWidth="10" defaultRowHeight="15"/>
  <cols>
    <col min="1" max="1" width="30.7109375" customWidth="1"/>
    <col min="2" max="6" width="12.7109375" customWidth="1"/>
    <col min="7" max="7" width="15.7109375" customWidth="1"/>
    <col min="8" max="8" width="3.28515625" customWidth="1"/>
    <col min="9" max="9" width="30.7109375" customWidth="1"/>
    <col min="10" max="14" width="12.7109375" style="1" customWidth="1"/>
    <col min="15" max="15" width="15.7109375" customWidth="1"/>
  </cols>
  <sheetData>
    <row r="2" spans="1:15" ht="20.100000000000001" customHeight="1">
      <c r="A2" s="127" t="s">
        <v>62</v>
      </c>
      <c r="B2" s="127"/>
      <c r="C2" s="127"/>
      <c r="D2" s="127"/>
      <c r="E2" s="127"/>
      <c r="F2" s="127"/>
      <c r="G2" s="127"/>
      <c r="I2" s="127" t="s">
        <v>63</v>
      </c>
      <c r="J2" s="127"/>
      <c r="K2" s="127"/>
      <c r="L2" s="127"/>
      <c r="M2" s="127"/>
      <c r="N2" s="127"/>
      <c r="O2" s="127"/>
    </row>
    <row r="3" spans="1:15">
      <c r="B3" s="8" t="s">
        <v>19</v>
      </c>
      <c r="C3" s="8" t="s">
        <v>60</v>
      </c>
      <c r="D3" s="8" t="s">
        <v>61</v>
      </c>
      <c r="E3" s="8" t="s">
        <v>66</v>
      </c>
      <c r="F3" s="8" t="s">
        <v>64</v>
      </c>
      <c r="G3" s="8" t="s">
        <v>65</v>
      </c>
      <c r="J3" s="8" t="s">
        <v>19</v>
      </c>
      <c r="K3" s="8" t="s">
        <v>60</v>
      </c>
      <c r="L3" s="8" t="s">
        <v>61</v>
      </c>
      <c r="M3" s="8" t="s">
        <v>66</v>
      </c>
      <c r="N3" s="8" t="s">
        <v>64</v>
      </c>
      <c r="O3" s="8" t="s">
        <v>65</v>
      </c>
    </row>
    <row r="4" spans="1:15">
      <c r="A4" t="s">
        <v>82</v>
      </c>
      <c r="B4" s="1">
        <f>IF(REVENU*1.15&lt;1,0,ROUND(REVENU*1.15,0))</f>
        <v>0</v>
      </c>
      <c r="C4" s="30">
        <f>'Chiffres '!B206</f>
        <v>4.0000000000000001E-3</v>
      </c>
      <c r="D4" s="40">
        <f>ROUND(B4*C4,0)</f>
        <v>0</v>
      </c>
      <c r="E4" s="91" t="s">
        <v>200</v>
      </c>
      <c r="F4" s="44">
        <f>ROUND(B4*E4,0)</f>
        <v>0</v>
      </c>
      <c r="G4" s="21">
        <f>D4-F4</f>
        <v>0</v>
      </c>
      <c r="I4" t="str">
        <f>A4</f>
        <v>Assurance Vieillesse Déplafonnée</v>
      </c>
      <c r="J4" s="1">
        <f>IF(REVENU_RIOGA*1.15&lt;1,0,ROUND(REVENU_RIOGA*1.15,0))</f>
        <v>0</v>
      </c>
      <c r="K4" s="30">
        <f>C4</f>
        <v>4.0000000000000001E-3</v>
      </c>
      <c r="L4" s="40">
        <f>ROUND(J4*K4,0)</f>
        <v>0</v>
      </c>
      <c r="M4" s="91" t="str">
        <f>E4</f>
        <v>0,40%</v>
      </c>
      <c r="N4" s="44">
        <f>ROUND(J4*M4,0)</f>
        <v>0</v>
      </c>
      <c r="O4" s="21">
        <f>L4-N4</f>
        <v>0</v>
      </c>
    </row>
    <row r="5" spans="1:15">
      <c r="A5" t="s">
        <v>81</v>
      </c>
      <c r="B5" s="1">
        <f>IF(B4&lt;1,0,IF(B4&gt;PASS,PASS,B4))</f>
        <v>0</v>
      </c>
      <c r="C5" s="30">
        <f>'Chiffres '!B208</f>
        <v>6.9000000000000006E-2</v>
      </c>
      <c r="D5" s="40">
        <f>ROUND(B5*C5,0)</f>
        <v>0</v>
      </c>
      <c r="E5" s="91" t="s">
        <v>201</v>
      </c>
      <c r="F5" s="44">
        <f>ROUND(B5*E5,0)</f>
        <v>0</v>
      </c>
      <c r="G5" s="21">
        <f>D5-F5</f>
        <v>0</v>
      </c>
      <c r="I5" t="str">
        <f>A5</f>
        <v>Assurance Vieillesse Plafonnée</v>
      </c>
      <c r="J5" s="1">
        <f>IF(J4&gt;PASS,PASS,J4)</f>
        <v>0</v>
      </c>
      <c r="K5" s="30">
        <f>C5</f>
        <v>6.9000000000000006E-2</v>
      </c>
      <c r="L5" s="40">
        <f t="shared" ref="L5:L7" si="0">ROUND(J5*K5,0)</f>
        <v>0</v>
      </c>
      <c r="M5" s="91" t="str">
        <f>E5</f>
        <v>0,75%</v>
      </c>
      <c r="N5" s="44">
        <f>ROUND(J5*M5,0)</f>
        <v>0</v>
      </c>
      <c r="O5" s="21">
        <f>L5-N5</f>
        <v>0</v>
      </c>
    </row>
    <row r="6" spans="1:15">
      <c r="A6" t="s">
        <v>12</v>
      </c>
      <c r="B6" s="1">
        <f>B4</f>
        <v>0</v>
      </c>
      <c r="C6" s="30">
        <f>'Chiffres '!B211</f>
        <v>3.5000000000000001E-3</v>
      </c>
      <c r="D6" s="40">
        <f t="shared" ref="D6:D7" si="1">G6</f>
        <v>0</v>
      </c>
      <c r="E6" s="30"/>
      <c r="F6" s="30"/>
      <c r="G6" s="21">
        <f t="shared" ref="G6:G9" si="2">ROUND(B6*C6,0)</f>
        <v>0</v>
      </c>
      <c r="I6" t="s">
        <v>12</v>
      </c>
      <c r="J6" s="1">
        <f>J4</f>
        <v>0</v>
      </c>
      <c r="K6" s="30">
        <f>C6</f>
        <v>3.5000000000000001E-3</v>
      </c>
      <c r="L6" s="40">
        <f t="shared" si="0"/>
        <v>0</v>
      </c>
      <c r="M6" s="30"/>
      <c r="N6" s="30"/>
      <c r="O6" s="21">
        <f t="shared" ref="O6:O7" si="3">ROUND(J6*K6,0)</f>
        <v>0</v>
      </c>
    </row>
    <row r="7" spans="1:15">
      <c r="A7" t="s">
        <v>11</v>
      </c>
      <c r="B7" s="1">
        <f>IF(B4&lt;1,0,B4)</f>
        <v>0</v>
      </c>
      <c r="C7" s="30">
        <f>'Chiffres '!D43</f>
        <v>9.7000000000000003E-2</v>
      </c>
      <c r="D7" s="40">
        <f t="shared" si="1"/>
        <v>0</v>
      </c>
      <c r="E7" s="30"/>
      <c r="F7" s="30"/>
      <c r="G7" s="21">
        <f t="shared" si="2"/>
        <v>0</v>
      </c>
      <c r="I7" t="s">
        <v>11</v>
      </c>
      <c r="J7" s="1">
        <f>IF(J4&lt;1,0,J4)</f>
        <v>0</v>
      </c>
      <c r="K7" s="30">
        <f>'Chiffres '!D43</f>
        <v>9.7000000000000003E-2</v>
      </c>
      <c r="L7" s="40">
        <f t="shared" si="0"/>
        <v>0</v>
      </c>
      <c r="M7" s="30"/>
      <c r="N7" s="30"/>
      <c r="O7" s="21">
        <f t="shared" si="3"/>
        <v>0</v>
      </c>
    </row>
    <row r="8" spans="1:15">
      <c r="A8" s="17" t="s">
        <v>24</v>
      </c>
      <c r="B8" s="28"/>
      <c r="C8" s="28"/>
      <c r="D8" s="28"/>
      <c r="E8" s="28"/>
      <c r="F8" s="28"/>
      <c r="G8" s="22">
        <f>SUM(G4:G7)</f>
        <v>0</v>
      </c>
      <c r="I8" s="17" t="s">
        <v>24</v>
      </c>
      <c r="J8" s="28"/>
      <c r="K8" s="28"/>
      <c r="L8" s="28"/>
      <c r="M8" s="28"/>
      <c r="N8" s="28"/>
      <c r="O8" s="22">
        <f>SUM(O4:O7)</f>
        <v>0</v>
      </c>
    </row>
    <row r="9" spans="1:15">
      <c r="A9" t="s">
        <v>88</v>
      </c>
      <c r="B9" s="1">
        <f>'Chiffres '!B217</f>
        <v>0</v>
      </c>
      <c r="C9" s="30">
        <f>'Chiffres '!B213</f>
        <v>0.08</v>
      </c>
      <c r="D9" s="40">
        <f>ROUND(B9*C9,0)</f>
        <v>0</v>
      </c>
      <c r="E9" s="30"/>
      <c r="F9" s="30"/>
      <c r="G9" s="21">
        <f t="shared" si="2"/>
        <v>0</v>
      </c>
      <c r="I9" t="s">
        <v>88</v>
      </c>
      <c r="J9" s="1">
        <f>'Chiffres '!H217</f>
        <v>0</v>
      </c>
      <c r="K9" s="30">
        <f>'Chiffres '!B213</f>
        <v>0.08</v>
      </c>
      <c r="L9" s="40">
        <f>O9</f>
        <v>0</v>
      </c>
      <c r="M9" s="30"/>
      <c r="N9" s="30"/>
      <c r="O9" s="21">
        <f>ROUND(J9*K9,0)</f>
        <v>0</v>
      </c>
    </row>
    <row r="10" spans="1:15">
      <c r="A10" s="17" t="s">
        <v>89</v>
      </c>
      <c r="B10" s="28"/>
      <c r="C10" s="17"/>
      <c r="D10" s="17"/>
      <c r="E10" s="17"/>
      <c r="F10" s="17"/>
      <c r="G10" s="22">
        <f>SUM(G9:G9)</f>
        <v>0</v>
      </c>
      <c r="I10" s="17" t="s">
        <v>89</v>
      </c>
      <c r="J10" s="28"/>
      <c r="K10" s="28"/>
      <c r="L10" s="28"/>
      <c r="M10" s="28"/>
      <c r="N10" s="28"/>
      <c r="O10" s="22">
        <f>SUM(O9:O9)</f>
        <v>0</v>
      </c>
    </row>
    <row r="12" spans="1:15">
      <c r="A12" s="24" t="s">
        <v>59</v>
      </c>
      <c r="B12" s="24"/>
      <c r="C12" s="24"/>
      <c r="D12" s="24"/>
      <c r="E12" s="24"/>
      <c r="F12" s="24"/>
      <c r="G12" s="23">
        <f>G10+G8</f>
        <v>0</v>
      </c>
      <c r="I12" s="24" t="s">
        <v>59</v>
      </c>
      <c r="J12" s="29"/>
      <c r="K12" s="29"/>
      <c r="L12" s="29"/>
      <c r="M12" s="29"/>
      <c r="N12" s="29"/>
      <c r="O12" s="23">
        <f>O10+O8</f>
        <v>0</v>
      </c>
    </row>
    <row r="14" spans="1:15" ht="15.75">
      <c r="A14" s="27" t="s">
        <v>127</v>
      </c>
      <c r="B14" s="26"/>
      <c r="C14" s="26"/>
      <c r="D14" s="26"/>
      <c r="E14" s="26"/>
      <c r="F14" s="26"/>
      <c r="G14" s="25">
        <f>G12-O12</f>
        <v>0</v>
      </c>
    </row>
    <row r="16" spans="1:15" ht="15.75">
      <c r="A16" s="27" t="s">
        <v>128</v>
      </c>
      <c r="B16" s="26"/>
      <c r="C16" s="26"/>
      <c r="D16" s="26"/>
      <c r="E16" s="26"/>
      <c r="F16" s="26"/>
      <c r="G16" s="25">
        <f>-'Chiffres '!L1</f>
        <v>0</v>
      </c>
    </row>
    <row r="18" spans="1:7" ht="15.75">
      <c r="A18" s="27" t="s">
        <v>129</v>
      </c>
      <c r="B18" s="26"/>
      <c r="C18" s="26"/>
      <c r="D18" s="26"/>
      <c r="E18" s="26"/>
      <c r="F18" s="26"/>
      <c r="G18" s="25">
        <f>RIOGA</f>
        <v>0</v>
      </c>
    </row>
    <row r="19" spans="1:7">
      <c r="A19" t="str">
        <f>"- SURCOÛT CHARGES SOCIALES"</f>
        <v>- SURCOÛT CHARGES SOCIALES</v>
      </c>
      <c r="G19" s="49">
        <f>G14</f>
        <v>0</v>
      </c>
    </row>
    <row r="20" spans="1:7">
      <c r="A20" t="str">
        <f>"- SURCOÛT IR"</f>
        <v>- SURCOÛT IR</v>
      </c>
      <c r="G20" s="49">
        <f>+G16</f>
        <v>0</v>
      </c>
    </row>
    <row r="21" spans="1:7">
      <c r="A21" t="s">
        <v>130</v>
      </c>
      <c r="G21" s="49">
        <f>SUM(G18:G20)</f>
        <v>0</v>
      </c>
    </row>
  </sheetData>
  <mergeCells count="2">
    <mergeCell ref="A2:G2"/>
    <mergeCell ref="I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21</vt:i4>
      </vt:variant>
    </vt:vector>
  </HeadingPairs>
  <TitlesOfParts>
    <vt:vector size="40" baseType="lpstr">
      <vt:lpstr>IMPACTS RIOGA</vt:lpstr>
      <vt:lpstr>TOTAUX</vt:lpstr>
      <vt:lpstr>Feuil3</vt:lpstr>
      <vt:lpstr>15-PODO</vt:lpstr>
      <vt:lpstr>14-Avocats</vt:lpstr>
      <vt:lpstr>13-AGENT D'ASS</vt:lpstr>
      <vt:lpstr>Chiffres </vt:lpstr>
      <vt:lpstr>1-ARTISAN</vt:lpstr>
      <vt:lpstr>2-ARTISTES</vt:lpstr>
      <vt:lpstr>3-Chir_dent</vt:lpstr>
      <vt:lpstr>4-COMMERCANT</vt:lpstr>
      <vt:lpstr>5-EC_CAC</vt:lpstr>
      <vt:lpstr>6-MédS1</vt:lpstr>
      <vt:lpstr>7-MédS2</vt:lpstr>
      <vt:lpstr>8-PAM</vt:lpstr>
      <vt:lpstr>9-CIPAV</vt:lpstr>
      <vt:lpstr>10-BNC-SSI</vt:lpstr>
      <vt:lpstr>11-SF</vt:lpstr>
      <vt:lpstr>12-VETO</vt:lpstr>
      <vt:lpstr>ACTIVITE</vt:lpstr>
      <vt:lpstr>ANNEE_AVOCAT</vt:lpstr>
      <vt:lpstr>CAS</vt:lpstr>
      <vt:lpstr>CLASSE_CNBF</vt:lpstr>
      <vt:lpstr>CSP_OBLIG</vt:lpstr>
      <vt:lpstr>OUI_NON</vt:lpstr>
      <vt:lpstr>PASS</vt:lpstr>
      <vt:lpstr>PASS_040</vt:lpstr>
      <vt:lpstr>PASS_060</vt:lpstr>
      <vt:lpstr>PASS_110</vt:lpstr>
      <vt:lpstr>PASS_140</vt:lpstr>
      <vt:lpstr>PASS_300</vt:lpstr>
      <vt:lpstr>PASS_500</vt:lpstr>
      <vt:lpstr>REV_CONV</vt:lpstr>
      <vt:lpstr>REV_CONV_RIOGA</vt:lpstr>
      <vt:lpstr>REVENU</vt:lpstr>
      <vt:lpstr>REVENU_RIOGA</vt:lpstr>
      <vt:lpstr>RIOGA</vt:lpstr>
      <vt:lpstr>TAUX_IR</vt:lpstr>
      <vt:lpstr>TAUX_marginal</vt:lpstr>
      <vt:lpstr>'IMPACTS RIOGA'!Zone_d_impression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ETIENNE</dc:creator>
  <cp:lastModifiedBy>YL</cp:lastModifiedBy>
  <cp:lastPrinted>2024-03-29T16:47:29Z</cp:lastPrinted>
  <dcterms:created xsi:type="dcterms:W3CDTF">2024-03-20T09:03:41Z</dcterms:created>
  <dcterms:modified xsi:type="dcterms:W3CDTF">2024-04-18T08:54:20Z</dcterms:modified>
</cp:coreProperties>
</file>