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L\Downloads\"/>
    </mc:Choice>
  </mc:AlternateContent>
  <workbookProtection workbookPassword="CA82" lockStructure="1"/>
  <bookViews>
    <workbookView xWindow="-120" yWindow="-120" windowWidth="29040" windowHeight="15720" firstSheet="1" activeTab="1"/>
  </bookViews>
  <sheets>
    <sheet name="FORMULAIRE" sheetId="8" state="hidden" r:id="rId1"/>
    <sheet name="FORMULAIRE A COMPLETER" sheetId="12" r:id="rId2"/>
    <sheet name="COMPARATIF" sheetId="10" r:id="rId3"/>
    <sheet name="CALCUL MEDEC. SECTEUR " sheetId="1" state="hidden" r:id="rId4"/>
    <sheet name="CALCUL TAUX CHARGES SOC" sheetId="2" state="hidden" r:id="rId5"/>
    <sheet name="AGA" sheetId="3" state="hidden" r:id="rId6"/>
    <sheet name="sans AGA" sheetId="7" state="hidden" r:id="rId7"/>
    <sheet name="Chiffres" sheetId="4" state="hidden" r:id="rId8"/>
    <sheet name="tableau" sheetId="6" state="hidden" r:id="rId9"/>
    <sheet name="DÉTAIL DES ABATTEMENTS FISCAUX" sheetId="14" r:id="rId10"/>
  </sheets>
  <definedNames>
    <definedName name="Cat_groupeIII">Chiffres!$A$50:$A$53</definedName>
    <definedName name="FORMULAIRE_OK">'CALCUL MEDEC. SECTEUR '!$C$7</definedName>
    <definedName name="PASS">Chiffres!$B$1</definedName>
    <definedName name="PASS_1.4xPASS">Chiffres!$B$3</definedName>
    <definedName name="PASS_2.5xPASS">Chiffres!$B$4</definedName>
    <definedName name="PASS_3.5xPASS">Chiffres!$B$7</definedName>
    <definedName name="PASS_3xPASS">Chiffres!$B$6</definedName>
    <definedName name="PASS_5xPASS">Chiffres!$B$5</definedName>
    <definedName name="Print_Area" localSheetId="3">'CALCUL MEDEC. SECTEUR '!$A$1:$L$79</definedName>
    <definedName name="Print_Area" localSheetId="2">COMPARATIF!$A$1:$G$25</definedName>
    <definedName name="Print_Area" localSheetId="9">'DÉTAIL DES ABATTEMENTS FISCAUX'!$A$1:$G$37</definedName>
    <definedName name="Taux_IR">Chiffres!$C$42:$C$46</definedName>
    <definedName name="_xlnm.Print_Area" localSheetId="2">COMPARATIF!$A$1:$G$25</definedName>
    <definedName name="_xlnm.Print_Area" localSheetId="9">'DÉTAIL DES ABATTEMENTS FISCAUX'!$A$1:$G$37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E6" i="14" l="1"/>
  <c r="C5" i="1"/>
  <c r="C4" i="1"/>
  <c r="C3" i="1"/>
  <c r="C2" i="1"/>
  <c r="C1" i="1"/>
  <c r="G26" i="8"/>
  <c r="G25" i="8"/>
  <c r="G24" i="8"/>
  <c r="G22" i="8"/>
  <c r="G21" i="8"/>
  <c r="G19" i="8"/>
  <c r="G18" i="8"/>
  <c r="G16" i="8"/>
  <c r="G12" i="8"/>
  <c r="E10" i="8"/>
  <c r="J22" i="12"/>
  <c r="I22" i="12"/>
  <c r="I19" i="12"/>
  <c r="I18" i="12"/>
  <c r="I16" i="12"/>
  <c r="J12" i="12"/>
  <c r="I12" i="12"/>
  <c r="J10" i="12"/>
  <c r="I10" i="12"/>
  <c r="C7" i="1" l="1"/>
  <c r="C15" i="10" s="1"/>
  <c r="I18" i="8"/>
  <c r="I12" i="8"/>
  <c r="I16" i="8"/>
  <c r="I19" i="8"/>
  <c r="I21" i="8"/>
  <c r="I22" i="8"/>
  <c r="I24" i="8"/>
  <c r="I25" i="8"/>
  <c r="I26" i="8"/>
  <c r="I28" i="8"/>
  <c r="I10" i="8"/>
  <c r="A40" i="6"/>
  <c r="A39" i="6"/>
  <c r="A33" i="6"/>
  <c r="A32" i="6"/>
  <c r="A31" i="6"/>
  <c r="J28" i="8"/>
  <c r="J12" i="8"/>
  <c r="J10" i="8"/>
  <c r="H18" i="1"/>
  <c r="H17" i="1"/>
  <c r="F28" i="1" s="1"/>
  <c r="H16" i="1"/>
  <c r="L27" i="1" s="1"/>
  <c r="B39" i="6" s="1"/>
  <c r="C39" i="6" s="1"/>
  <c r="H15" i="1"/>
  <c r="H14" i="1"/>
  <c r="H13" i="1"/>
  <c r="H12" i="1"/>
  <c r="E20" i="1"/>
  <c r="E55" i="4" s="1"/>
  <c r="A83" i="4"/>
  <c r="A84" i="4" s="1"/>
  <c r="B91" i="4"/>
  <c r="B90" i="4"/>
  <c r="B89" i="4"/>
  <c r="B88" i="4"/>
  <c r="B87" i="4"/>
  <c r="B86" i="4"/>
  <c r="B85" i="4"/>
  <c r="B84" i="4"/>
  <c r="A74" i="4"/>
  <c r="A75" i="4" s="1"/>
  <c r="B82" i="4"/>
  <c r="B81" i="4"/>
  <c r="B80" i="4"/>
  <c r="B79" i="4"/>
  <c r="B78" i="4"/>
  <c r="B77" i="4"/>
  <c r="B76" i="4"/>
  <c r="B75" i="4"/>
  <c r="A65" i="4"/>
  <c r="A66" i="4" s="1"/>
  <c r="B73" i="4"/>
  <c r="B72" i="4"/>
  <c r="B71" i="4"/>
  <c r="B70" i="4"/>
  <c r="B69" i="4"/>
  <c r="B68" i="4"/>
  <c r="B67" i="4"/>
  <c r="B66" i="4"/>
  <c r="B58" i="4"/>
  <c r="B59" i="4"/>
  <c r="B60" i="4"/>
  <c r="B61" i="4"/>
  <c r="B62" i="4"/>
  <c r="B63" i="4"/>
  <c r="B64" i="4"/>
  <c r="B57" i="4"/>
  <c r="A56" i="4"/>
  <c r="A57" i="4" s="1"/>
  <c r="A58" i="4" s="1"/>
  <c r="A59" i="4" s="1"/>
  <c r="A60" i="4" s="1"/>
  <c r="A61" i="4" s="1"/>
  <c r="A62" i="4" s="1"/>
  <c r="A63" i="4" s="1"/>
  <c r="A64" i="4" s="1"/>
  <c r="B42" i="7"/>
  <c r="B41" i="7"/>
  <c r="B40" i="7"/>
  <c r="B39" i="7"/>
  <c r="B38" i="7"/>
  <c r="A38" i="7"/>
  <c r="C32" i="7"/>
  <c r="G31" i="7"/>
  <c r="C28" i="7"/>
  <c r="E25" i="7"/>
  <c r="C25" i="7"/>
  <c r="E24" i="7"/>
  <c r="C24" i="7"/>
  <c r="C21" i="7"/>
  <c r="C18" i="7"/>
  <c r="B18" i="7"/>
  <c r="C15" i="7"/>
  <c r="E12" i="7"/>
  <c r="C12" i="7"/>
  <c r="C18" i="3"/>
  <c r="B18" i="3"/>
  <c r="C21" i="3"/>
  <c r="B38" i="3"/>
  <c r="B39" i="3"/>
  <c r="B40" i="3"/>
  <c r="B41" i="3"/>
  <c r="B42" i="3"/>
  <c r="A38" i="3"/>
  <c r="A44" i="4"/>
  <c r="A40" i="3" s="1"/>
  <c r="A45" i="4"/>
  <c r="A41" i="3" s="1"/>
  <c r="A46" i="4"/>
  <c r="A42" i="7" s="1"/>
  <c r="A43" i="4"/>
  <c r="A39" i="3" s="1"/>
  <c r="C32" i="3"/>
  <c r="G31" i="3"/>
  <c r="C28" i="3"/>
  <c r="B7" i="4"/>
  <c r="E25" i="3"/>
  <c r="E24" i="3"/>
  <c r="C25" i="3"/>
  <c r="C24" i="3"/>
  <c r="C15" i="3"/>
  <c r="E12" i="3"/>
  <c r="C12" i="3"/>
  <c r="B6" i="4"/>
  <c r="B5" i="4"/>
  <c r="B4" i="4"/>
  <c r="A6" i="3" s="1"/>
  <c r="B3" i="4"/>
  <c r="A5" i="7" s="1"/>
  <c r="B18" i="10" l="1"/>
  <c r="E63" i="4"/>
  <c r="F55" i="4"/>
  <c r="F65" i="4" s="1"/>
  <c r="D18" i="7"/>
  <c r="G18" i="7" s="1"/>
  <c r="C6" i="6" s="1"/>
  <c r="A41" i="7"/>
  <c r="A39" i="7"/>
  <c r="B30" i="6"/>
  <c r="B40" i="6"/>
  <c r="A42" i="3"/>
  <c r="A4" i="7"/>
  <c r="A40" i="7"/>
  <c r="A5" i="3"/>
  <c r="A4" i="3"/>
  <c r="E57" i="4"/>
  <c r="A6" i="7"/>
  <c r="F27" i="1"/>
  <c r="L28" i="1"/>
  <c r="E56" i="4"/>
  <c r="E62" i="4"/>
  <c r="E58" i="4"/>
  <c r="E59" i="4"/>
  <c r="E64" i="4"/>
  <c r="E60" i="4"/>
  <c r="E61" i="4"/>
  <c r="A85" i="4"/>
  <c r="E84" i="4"/>
  <c r="E83" i="4"/>
  <c r="A76" i="4"/>
  <c r="E75" i="4"/>
  <c r="E74" i="4"/>
  <c r="A67" i="4"/>
  <c r="E66" i="4"/>
  <c r="E65" i="4"/>
  <c r="D18" i="3"/>
  <c r="G18" i="3" s="1"/>
  <c r="B6" i="6" s="1"/>
  <c r="L25" i="1"/>
  <c r="C32" i="6" s="1"/>
  <c r="L24" i="1"/>
  <c r="C31" i="6" s="1"/>
  <c r="F24" i="1"/>
  <c r="B31" i="6" s="1"/>
  <c r="E5" i="2"/>
  <c r="E9" i="2"/>
  <c r="B25" i="12" l="1"/>
  <c r="E13" i="2"/>
  <c r="C29" i="14"/>
  <c r="C19" i="14"/>
  <c r="C11" i="14"/>
  <c r="C16" i="14"/>
  <c r="C28" i="14"/>
  <c r="C8" i="14"/>
  <c r="C30" i="14"/>
  <c r="C21" i="14"/>
  <c r="C13" i="14"/>
  <c r="C26" i="14"/>
  <c r="C24" i="14"/>
  <c r="C10" i="14"/>
  <c r="C18" i="14"/>
  <c r="C7" i="14"/>
  <c r="D6" i="14"/>
  <c r="F6" i="14"/>
  <c r="D7" i="14"/>
  <c r="A3" i="14"/>
  <c r="C6" i="14"/>
  <c r="C5" i="14"/>
  <c r="A1" i="14"/>
  <c r="C14" i="14"/>
  <c r="B6" i="14"/>
  <c r="C15" i="14"/>
  <c r="D14" i="14"/>
  <c r="D15" i="14"/>
  <c r="C13" i="10"/>
  <c r="D6" i="10"/>
  <c r="G25" i="12"/>
  <c r="B34" i="6"/>
  <c r="B36" i="6" s="1"/>
  <c r="F29" i="1"/>
  <c r="F31" i="1"/>
  <c r="G3" i="6" s="1"/>
  <c r="B15" i="10"/>
  <c r="F8" i="10"/>
  <c r="F14" i="10"/>
  <c r="F7" i="10"/>
  <c r="F15" i="10"/>
  <c r="F9" i="10"/>
  <c r="F10" i="10"/>
  <c r="F12" i="10"/>
  <c r="F16" i="10"/>
  <c r="F6" i="10"/>
  <c r="F13" i="10"/>
  <c r="F11" i="10"/>
  <c r="B13" i="10"/>
  <c r="B11" i="10"/>
  <c r="B7" i="10"/>
  <c r="C6" i="10"/>
  <c r="B9" i="10"/>
  <c r="B14" i="10"/>
  <c r="B16" i="10"/>
  <c r="B12" i="10"/>
  <c r="B10" i="10"/>
  <c r="B6" i="10"/>
  <c r="B8" i="10"/>
  <c r="C9" i="10"/>
  <c r="C10" i="10"/>
  <c r="B31" i="8"/>
  <c r="C11" i="10"/>
  <c r="E9" i="10"/>
  <c r="D8" i="10"/>
  <c r="E8" i="10" s="1"/>
  <c r="E10" i="10"/>
  <c r="C8" i="10"/>
  <c r="D9" i="10"/>
  <c r="A1" i="10"/>
  <c r="E6" i="10"/>
  <c r="A3" i="10"/>
  <c r="G31" i="8"/>
  <c r="F58" i="4"/>
  <c r="G58" i="4" s="1"/>
  <c r="F88" i="4"/>
  <c r="F78" i="4"/>
  <c r="F83" i="4"/>
  <c r="G83" i="4" s="1"/>
  <c r="F80" i="4"/>
  <c r="F68" i="4"/>
  <c r="G65" i="4"/>
  <c r="F91" i="4"/>
  <c r="F73" i="4"/>
  <c r="F61" i="4"/>
  <c r="G61" i="4" s="1"/>
  <c r="F63" i="4"/>
  <c r="G63" i="4" s="1"/>
  <c r="F59" i="4"/>
  <c r="G59" i="4" s="1"/>
  <c r="F76" i="4"/>
  <c r="F82" i="4"/>
  <c r="F64" i="4"/>
  <c r="G64" i="4" s="1"/>
  <c r="F57" i="4"/>
  <c r="G57" i="4" s="1"/>
  <c r="F81" i="4"/>
  <c r="F66" i="4"/>
  <c r="G66" i="4" s="1"/>
  <c r="F86" i="4"/>
  <c r="F67" i="4"/>
  <c r="F79" i="4"/>
  <c r="F72" i="4"/>
  <c r="F84" i="4"/>
  <c r="G84" i="4" s="1"/>
  <c r="F69" i="4"/>
  <c r="F89" i="4"/>
  <c r="F71" i="4"/>
  <c r="F56" i="4"/>
  <c r="G56" i="4" s="1"/>
  <c r="F90" i="4"/>
  <c r="F85" i="4"/>
  <c r="F87" i="4"/>
  <c r="F75" i="4"/>
  <c r="G75" i="4" s="1"/>
  <c r="F62" i="4"/>
  <c r="G62" i="4" s="1"/>
  <c r="F74" i="4"/>
  <c r="G74" i="4" s="1"/>
  <c r="F60" i="4"/>
  <c r="G60" i="4" s="1"/>
  <c r="F70" i="4"/>
  <c r="F77" i="4"/>
  <c r="A86" i="4"/>
  <c r="E85" i="4"/>
  <c r="A77" i="4"/>
  <c r="E76" i="4"/>
  <c r="A68" i="4"/>
  <c r="E67" i="4"/>
  <c r="D16" i="14" l="1"/>
  <c r="D8" i="14"/>
  <c r="D9" i="14" s="1"/>
  <c r="B38" i="6"/>
  <c r="G1" i="3"/>
  <c r="B41" i="6"/>
  <c r="G76" i="4"/>
  <c r="D13" i="10"/>
  <c r="C41" i="3"/>
  <c r="C42" i="3"/>
  <c r="C38" i="3"/>
  <c r="C40" i="3"/>
  <c r="C39" i="3"/>
  <c r="G67" i="4"/>
  <c r="G85" i="4"/>
  <c r="A87" i="4"/>
  <c r="E86" i="4"/>
  <c r="G86" i="4" s="1"/>
  <c r="A78" i="4"/>
  <c r="E77" i="4"/>
  <c r="G77" i="4" s="1"/>
  <c r="A69" i="4"/>
  <c r="E68" i="4"/>
  <c r="G68" i="4" s="1"/>
  <c r="D17" i="14" l="1"/>
  <c r="C22" i="14"/>
  <c r="C17" i="14"/>
  <c r="C9" i="14"/>
  <c r="B24" i="3"/>
  <c r="B25" i="3"/>
  <c r="A88" i="4"/>
  <c r="E87" i="4"/>
  <c r="G87" i="4" s="1"/>
  <c r="A79" i="4"/>
  <c r="E78" i="4"/>
  <c r="G78" i="4" s="1"/>
  <c r="A70" i="4"/>
  <c r="E69" i="4"/>
  <c r="G69" i="4" s="1"/>
  <c r="A89" i="4" l="1"/>
  <c r="E88" i="4"/>
  <c r="G88" i="4" s="1"/>
  <c r="A80" i="4"/>
  <c r="E79" i="4"/>
  <c r="G79" i="4" s="1"/>
  <c r="A71" i="4"/>
  <c r="E70" i="4"/>
  <c r="G70" i="4" s="1"/>
  <c r="B15" i="3"/>
  <c r="D15" i="3" s="1"/>
  <c r="D42" i="3"/>
  <c r="D41" i="3"/>
  <c r="D39" i="3"/>
  <c r="B6" i="3"/>
  <c r="B12" i="3"/>
  <c r="B9" i="3"/>
  <c r="B32" i="3"/>
  <c r="D32" i="3" s="1"/>
  <c r="G32" i="3" s="1"/>
  <c r="B11" i="6" s="1"/>
  <c r="B28" i="3"/>
  <c r="D28" i="3" s="1"/>
  <c r="G28" i="3" s="1"/>
  <c r="B10" i="6" s="1"/>
  <c r="D40" i="3"/>
  <c r="G35" i="3"/>
  <c r="B21" i="3"/>
  <c r="B4" i="3"/>
  <c r="D38" i="3"/>
  <c r="D21" i="3" l="1"/>
  <c r="G21" i="3" s="1"/>
  <c r="B7" i="6" s="1"/>
  <c r="A90" i="4"/>
  <c r="E89" i="4"/>
  <c r="G89" i="4" s="1"/>
  <c r="A81" i="4"/>
  <c r="E80" i="4"/>
  <c r="G80" i="4" s="1"/>
  <c r="A72" i="4"/>
  <c r="E71" i="4"/>
  <c r="G71" i="4" s="1"/>
  <c r="D43" i="3"/>
  <c r="D4" i="3"/>
  <c r="B5" i="3"/>
  <c r="C4" i="3"/>
  <c r="B12" i="6"/>
  <c r="F25" i="3"/>
  <c r="D25" i="3"/>
  <c r="D6" i="3"/>
  <c r="C6" i="3"/>
  <c r="F24" i="3"/>
  <c r="D24" i="3"/>
  <c r="D12" i="3"/>
  <c r="F12" i="3"/>
  <c r="A44" i="3" l="1"/>
  <c r="C23" i="12" s="1"/>
  <c r="A91" i="4"/>
  <c r="E91" i="4" s="1"/>
  <c r="G91" i="4" s="1"/>
  <c r="E90" i="4"/>
  <c r="G90" i="4" s="1"/>
  <c r="A82" i="4"/>
  <c r="E82" i="4" s="1"/>
  <c r="G82" i="4" s="1"/>
  <c r="E81" i="4"/>
  <c r="G81" i="4" s="1"/>
  <c r="A73" i="4"/>
  <c r="E73" i="4" s="1"/>
  <c r="G73" i="4" s="1"/>
  <c r="E72" i="4"/>
  <c r="G72" i="4" s="1"/>
  <c r="D5" i="3"/>
  <c r="D7" i="3" s="1"/>
  <c r="E9" i="3" s="1"/>
  <c r="C5" i="3"/>
  <c r="C7" i="3" s="1"/>
  <c r="C9" i="3" s="1"/>
  <c r="D9" i="3" s="1"/>
  <c r="G12" i="3"/>
  <c r="G24" i="3"/>
  <c r="G25" i="3"/>
  <c r="C29" i="8" l="1"/>
  <c r="B9" i="6"/>
  <c r="B4" i="6"/>
  <c r="G92" i="4"/>
  <c r="L26" i="1" s="1"/>
  <c r="L29" i="1" s="1"/>
  <c r="F9" i="3"/>
  <c r="G9" i="3" s="1"/>
  <c r="B3" i="6" l="1"/>
  <c r="E15" i="3"/>
  <c r="F15" i="3" s="1"/>
  <c r="G15" i="3" s="1"/>
  <c r="B5" i="6" s="1"/>
  <c r="L30" i="1"/>
  <c r="L31" i="1" s="1"/>
  <c r="C33" i="6"/>
  <c r="D40" i="6" s="1"/>
  <c r="B13" i="6"/>
  <c r="B8" i="6" l="1"/>
  <c r="G36" i="3"/>
  <c r="E40" i="6"/>
  <c r="C40" i="6" s="1"/>
  <c r="E11" i="10"/>
  <c r="B17" i="10" s="1"/>
  <c r="G1" i="7"/>
  <c r="B25" i="7" s="1"/>
  <c r="I35" i="1"/>
  <c r="J35" i="1" s="1"/>
  <c r="E13" i="10" l="1"/>
  <c r="D21" i="14"/>
  <c r="D26" i="14" s="1"/>
  <c r="B14" i="6"/>
  <c r="B28" i="7"/>
  <c r="D28" i="7" s="1"/>
  <c r="G28" i="7" s="1"/>
  <c r="C10" i="6" s="1"/>
  <c r="B24" i="7"/>
  <c r="D24" i="7" s="1"/>
  <c r="D25" i="7"/>
  <c r="B6" i="7"/>
  <c r="C6" i="7" s="1"/>
  <c r="C38" i="7"/>
  <c r="D38" i="7" s="1"/>
  <c r="B21" i="7"/>
  <c r="B15" i="7"/>
  <c r="D15" i="7" s="1"/>
  <c r="B32" i="7"/>
  <c r="D32" i="7" s="1"/>
  <c r="G32" i="7" s="1"/>
  <c r="C11" i="6" s="1"/>
  <c r="C40" i="7"/>
  <c r="D40" i="7" s="1"/>
  <c r="C39" i="7"/>
  <c r="D39" i="7" s="1"/>
  <c r="B4" i="7"/>
  <c r="C41" i="7"/>
  <c r="D41" i="7" s="1"/>
  <c r="C42" i="7"/>
  <c r="D42" i="7" s="1"/>
  <c r="G35" i="7"/>
  <c r="C12" i="6" s="1"/>
  <c r="B12" i="7"/>
  <c r="F12" i="7" s="1"/>
  <c r="B9" i="7"/>
  <c r="D21" i="7" l="1"/>
  <c r="G21" i="7" s="1"/>
  <c r="C7" i="6" s="1"/>
  <c r="C30" i="6"/>
  <c r="D6" i="7"/>
  <c r="D12" i="7"/>
  <c r="G12" i="7" s="1"/>
  <c r="B5" i="7"/>
  <c r="C5" i="7" s="1"/>
  <c r="D43" i="7"/>
  <c r="A44" i="7" s="1"/>
  <c r="C4" i="7"/>
  <c r="F24" i="7"/>
  <c r="G24" i="7" s="1"/>
  <c r="D4" i="7"/>
  <c r="F25" i="7"/>
  <c r="G25" i="7" s="1"/>
  <c r="C34" i="6" l="1"/>
  <c r="D5" i="7"/>
  <c r="D7" i="7" s="1"/>
  <c r="E9" i="7" s="1"/>
  <c r="C7" i="7"/>
  <c r="C9" i="7" s="1"/>
  <c r="D9" i="7" s="1"/>
  <c r="C9" i="6"/>
  <c r="C4" i="6"/>
  <c r="C38" i="6" l="1"/>
  <c r="C41" i="6" s="1"/>
  <c r="C35" i="6"/>
  <c r="F9" i="7"/>
  <c r="G9" i="7" s="1"/>
  <c r="C13" i="6"/>
  <c r="E15" i="7" l="1"/>
  <c r="F15" i="7" s="1"/>
  <c r="G15" i="7" s="1"/>
  <c r="C5" i="6" s="1"/>
  <c r="E15" i="10"/>
  <c r="C36" i="6"/>
  <c r="H3" i="6" s="1"/>
  <c r="H4" i="6" s="1"/>
  <c r="H5" i="6" s="1"/>
  <c r="C3" i="6"/>
  <c r="C8" i="6" l="1"/>
  <c r="G36" i="7"/>
  <c r="I36" i="1"/>
  <c r="I37" i="1" s="1"/>
  <c r="C14" i="6" l="1"/>
  <c r="C18" i="6"/>
  <c r="B18" i="6"/>
  <c r="C17" i="6" l="1"/>
  <c r="C19" i="6" s="1"/>
  <c r="B17" i="6"/>
  <c r="B19" i="6" s="1"/>
  <c r="B24" i="6" l="1"/>
  <c r="B25" i="6"/>
  <c r="A27" i="6"/>
  <c r="A18" i="6"/>
  <c r="A21" i="6"/>
  <c r="D18" i="6"/>
  <c r="D19" i="6"/>
  <c r="A16" i="6"/>
  <c r="E16" i="10" s="1"/>
  <c r="A15" i="6"/>
  <c r="A17" i="6"/>
  <c r="D17" i="6"/>
  <c r="A25" i="6" l="1"/>
  <c r="D16" i="10"/>
</calcChain>
</file>

<file path=xl/sharedStrings.xml><?xml version="1.0" encoding="utf-8"?>
<sst xmlns="http://schemas.openxmlformats.org/spreadsheetml/2006/main" count="286" uniqueCount="153">
  <si>
    <t xml:space="preserve">TAUX URSSAF </t>
  </si>
  <si>
    <t xml:space="preserve">TAUX CARMF </t>
  </si>
  <si>
    <t xml:space="preserve">REVENUS </t>
  </si>
  <si>
    <t xml:space="preserve">APPEL </t>
  </si>
  <si>
    <t>TAUX</t>
  </si>
  <si>
    <t>REVENUS</t>
  </si>
  <si>
    <t>Economie / Surcout complément. Charges sociales N+1</t>
  </si>
  <si>
    <t>Economie / Surcout complément. IR N</t>
  </si>
  <si>
    <t>Taux d'imposition IR - Tranche marginale supérieure</t>
  </si>
  <si>
    <t xml:space="preserve">Gain / Coût MAJORATION 10 % REVENUS </t>
  </si>
  <si>
    <t xml:space="preserve">ANALYSE MEDECIN SECTEUR 1 - LIASSE FISCALE 2022 </t>
  </si>
  <si>
    <t xml:space="preserve">Recettes encaissées (CASE AA liasse fiscale) </t>
  </si>
  <si>
    <t xml:space="preserve">A compléter </t>
  </si>
  <si>
    <t xml:space="preserve">Analyse de l'intérêt de la majoration de 10 % des revenus </t>
  </si>
  <si>
    <r>
      <t xml:space="preserve">Abattement de groupe III </t>
    </r>
    <r>
      <rPr>
        <b/>
        <sz val="10"/>
        <color rgb="FF4E4E4E"/>
        <rFont val="Calibri"/>
        <family val="2"/>
        <scheme val="minor"/>
      </rPr>
      <t xml:space="preserve">(selon tableau ci-dessous) </t>
    </r>
  </si>
  <si>
    <r>
      <t xml:space="preserve">Abattement 3 % sur revenus conventionnés </t>
    </r>
    <r>
      <rPr>
        <b/>
        <sz val="8"/>
        <color rgb="FF4E4E4E"/>
        <rFont val="Calibri"/>
        <family val="2"/>
        <scheme val="minor"/>
      </rPr>
      <t>(CASE AA liasse fiscale)</t>
    </r>
  </si>
  <si>
    <r>
      <t xml:space="preserve">Déduction 2 % </t>
    </r>
    <r>
      <rPr>
        <b/>
        <sz val="10"/>
        <color rgb="FF4E4E4E"/>
        <rFont val="Calibri"/>
        <family val="2"/>
        <scheme val="minor"/>
      </rPr>
      <t>(CASE AA et AF liasse fiscale)</t>
    </r>
  </si>
  <si>
    <t xml:space="preserve">Total Gain Divers (Case AF liasse fiscale) </t>
  </si>
  <si>
    <t xml:space="preserve">Taux d'imposition moyen charges sociales (CARMF - URSSAF) </t>
  </si>
  <si>
    <t xml:space="preserve">    dont gain divers (Case AF liasse fiscale) concernant la rémunération CPAM </t>
  </si>
  <si>
    <t xml:space="preserve">REVENUS BNC (AVANT DEDUCTION 2 %) (case CP + case CQ) </t>
  </si>
  <si>
    <t xml:space="preserve">Coût complémentaire sur la majoriation de la base de la 2042 de 10 % </t>
  </si>
  <si>
    <t>Attention. Les gains divers peuvent comprendre également le ROSP. A intégrer dans les revenus conventionnés sur case suivante</t>
  </si>
  <si>
    <t>Récapitulatif Abattement groupe III</t>
  </si>
  <si>
    <t>REVENUS AGA AVEC DEDUCTION 2%</t>
  </si>
  <si>
    <t xml:space="preserve">REVENUS SANS AGA AVEC MAJORATION DE 10% </t>
  </si>
  <si>
    <t>Allocations familiales</t>
  </si>
  <si>
    <t>AGA</t>
  </si>
  <si>
    <t>PASS</t>
  </si>
  <si>
    <t>AF</t>
  </si>
  <si>
    <t>1,4 PASS</t>
  </si>
  <si>
    <t>2,5 PASS</t>
  </si>
  <si>
    <t>5 PASS</t>
  </si>
  <si>
    <t>3 PASS</t>
  </si>
  <si>
    <t>&lt; 1,4 PASS</t>
  </si>
  <si>
    <t>&gt; 1,4 PASS</t>
  </si>
  <si>
    <t>Taux normal AF</t>
  </si>
  <si>
    <t>PCPAM AF</t>
  </si>
  <si>
    <t>Cas</t>
  </si>
  <si>
    <t>Taux normal</t>
  </si>
  <si>
    <t>PCPAM</t>
  </si>
  <si>
    <t>Allocations Familiales</t>
  </si>
  <si>
    <t>Base</t>
  </si>
  <si>
    <t>Cotisation normale</t>
  </si>
  <si>
    <t>Cotisation due</t>
  </si>
  <si>
    <t>Maladie</t>
  </si>
  <si>
    <t>Taux normal maladie</t>
  </si>
  <si>
    <t>PCPAM maladie</t>
  </si>
  <si>
    <t>CSG-CRDS</t>
  </si>
  <si>
    <t>Taux normal CSG-CRDS</t>
  </si>
  <si>
    <t>ALLOCATIONS FAMILIALES</t>
  </si>
  <si>
    <t>MALADIE</t>
  </si>
  <si>
    <t>AVEC AVANTAGES AGA</t>
  </si>
  <si>
    <t>RETRAITE DE BASE</t>
  </si>
  <si>
    <t>Vieillesse de base</t>
  </si>
  <si>
    <t>Vieillesse de base tranche 1</t>
  </si>
  <si>
    <t>Vieillesse de base tranche 2</t>
  </si>
  <si>
    <t>taux normal CARMF retraite de base</t>
  </si>
  <si>
    <t>tranche 1</t>
  </si>
  <si>
    <t>tranche 2</t>
  </si>
  <si>
    <t>Prise en charge CPAM CARMF retraite de base</t>
  </si>
  <si>
    <t>RETRAITE COMPLÉMENTAIRE</t>
  </si>
  <si>
    <t>Retraite complémentaire</t>
  </si>
  <si>
    <t>3,5 PASS</t>
  </si>
  <si>
    <t>Taux normal CARMF complémentaire</t>
  </si>
  <si>
    <t>ASV</t>
  </si>
  <si>
    <t>Cotisation Forfaitaire</t>
  </si>
  <si>
    <t>Forfaitaire</t>
  </si>
  <si>
    <t>Proportionnelle</t>
  </si>
  <si>
    <t>Cotisation Proportionnelle</t>
  </si>
  <si>
    <t>INVALIDITÉ-DÉCÈS</t>
  </si>
  <si>
    <t>Cotisation</t>
  </si>
  <si>
    <t>INV DECES</t>
  </si>
  <si>
    <t>R &lt; PASS</t>
  </si>
  <si>
    <t>R compris entre PASS et 3 PASS</t>
  </si>
  <si>
    <t>R &gt; 3 PASS</t>
  </si>
  <si>
    <t>Barème IR</t>
  </si>
  <si>
    <t>Entre</t>
  </si>
  <si>
    <t>et</t>
  </si>
  <si>
    <t>TOTAL CHARGES SOCIALES</t>
  </si>
  <si>
    <t>Revenu compris entre ____ et ____</t>
  </si>
  <si>
    <t>URPS</t>
  </si>
  <si>
    <t>taux URPS</t>
  </si>
  <si>
    <t>Taux CFP</t>
  </si>
  <si>
    <t>CFP</t>
  </si>
  <si>
    <t>Total URSSAF</t>
  </si>
  <si>
    <t>Vieillesse complémentaire</t>
  </si>
  <si>
    <t>Invalidité-décès</t>
  </si>
  <si>
    <t>Total CARMF</t>
  </si>
  <si>
    <t>sans AGA</t>
  </si>
  <si>
    <r>
      <t xml:space="preserve">Maintien des avantages OGA (absence de majoration de 10%) </t>
    </r>
    <r>
      <rPr>
        <b/>
        <u/>
        <sz val="11"/>
        <color theme="1"/>
        <rFont val="Calibri"/>
        <family val="2"/>
        <scheme val="minor"/>
      </rPr>
      <t>ET</t>
    </r>
    <r>
      <rPr>
        <sz val="11"/>
        <color theme="1"/>
        <rFont val="Calibri"/>
        <family val="2"/>
        <scheme val="minor"/>
      </rPr>
      <t xml:space="preserve"> abattement de 2%</t>
    </r>
  </si>
  <si>
    <t>Spécialistes médicaux</t>
  </si>
  <si>
    <t>Chirurgiens et spécialistes chirurgicaux</t>
  </si>
  <si>
    <t>Électroradiologistes qualifiés</t>
  </si>
  <si>
    <t>Catégorie de Médecins</t>
  </si>
  <si>
    <t>Catégorie Groupe III</t>
  </si>
  <si>
    <t>Barème groupe III</t>
  </si>
  <si>
    <t>Omnipraticiens</t>
  </si>
  <si>
    <t>Déclarations</t>
  </si>
  <si>
    <t>S/charges sociales</t>
  </si>
  <si>
    <t>s/CSP oblig</t>
  </si>
  <si>
    <t>Recettes encaissées (2035A - Rub. AA) :</t>
  </si>
  <si>
    <t>Total des Gains Divers (2035A - Rub. AF) :</t>
  </si>
  <si>
    <t>dont rémunérations CPAM :</t>
  </si>
  <si>
    <t>i</t>
  </si>
  <si>
    <t>Zone Franche Urbaine (2035B - Rub. CS) :</t>
  </si>
  <si>
    <t>Permanence des soins (2035B - Rub. CI) :</t>
  </si>
  <si>
    <t>Zone de Revitalisation Rurale (2035B - Rub. AW) :</t>
  </si>
  <si>
    <t>Cotisations facultatives</t>
  </si>
  <si>
    <t>Exo soumises à cot sociales</t>
  </si>
  <si>
    <t>BASE IR</t>
  </si>
  <si>
    <t>BASE CHARGES SOCIALES</t>
  </si>
  <si>
    <t xml:space="preserve">BASE CHARGES SOCIALES </t>
  </si>
  <si>
    <t>Cot facultatives</t>
  </si>
  <si>
    <t>Exo</t>
  </si>
  <si>
    <t>Taux d'imposition IR - Tranche marginale supérieure :</t>
  </si>
  <si>
    <t xml:space="preserve">Cotisations facultatives </t>
  </si>
  <si>
    <t>Madelin (2035A - Rub. BZ) :</t>
  </si>
  <si>
    <t>Nouveaux PER (2035A - Rub. BU) :</t>
  </si>
  <si>
    <t>Exonérations</t>
  </si>
  <si>
    <t>Dossier de :</t>
  </si>
  <si>
    <r>
      <t xml:space="preserve">Catégorie de Médecins </t>
    </r>
    <r>
      <rPr>
        <b/>
        <sz val="10"/>
        <color rgb="FF002060"/>
        <rFont val="Arial"/>
        <family val="2"/>
      </rPr>
      <t xml:space="preserve">(choix dans la liste) </t>
    </r>
    <r>
      <rPr>
        <b/>
        <sz val="12"/>
        <color rgb="FF002060"/>
        <rFont val="Arial"/>
        <family val="2"/>
      </rPr>
      <t>:</t>
    </r>
  </si>
  <si>
    <t>catégorie</t>
  </si>
  <si>
    <t>résultat avant 2%</t>
  </si>
  <si>
    <t>Recettes AA</t>
  </si>
  <si>
    <t>Recettes AF</t>
  </si>
  <si>
    <t>Dt rémunération CPAM</t>
  </si>
  <si>
    <t>ZFU</t>
  </si>
  <si>
    <t>ZRR</t>
  </si>
  <si>
    <t>IR</t>
  </si>
  <si>
    <t xml:space="preserve">MÉDECINS SECTEUR 1 : </t>
  </si>
  <si>
    <t>base ir</t>
  </si>
  <si>
    <t>(Base IR avec CUMUL DES ABATTEMENTS ["&amp;H3&amp;" €] - Base IR avec MAINTIEN DES AVANTAGES OGA ["&amp;G3&amp;" €])</t>
  </si>
  <si>
    <t>(Base IR avec MAINTIEN DES AVANTAGES OGA ["&amp;G3&amp;" €] - Base IR avec CUMUL DES ABATTEMENTS ["&amp;H3&amp;" €])</t>
  </si>
  <si>
    <t>Décl. N° 2035B</t>
  </si>
  <si>
    <t>Décl. N° 2042-C-Pro</t>
  </si>
  <si>
    <t>Rubrique CQ (Déduction Médecin conv. S1) :</t>
  </si>
  <si>
    <t>Revenus BNC - AVANT déduction forfait 2% :</t>
  </si>
  <si>
    <t xml:space="preserve">Ce montant ne doit pas comprendre le forfait 2% </t>
  </si>
  <si>
    <r>
      <t xml:space="preserve">Renonciation aux avantages OGA (majoration du revenu BNC de 10 %) </t>
    </r>
    <r>
      <rPr>
        <b/>
        <u/>
        <sz val="11"/>
        <color theme="1"/>
        <rFont val="Calibri"/>
        <family val="2"/>
        <scheme val="minor"/>
      </rPr>
      <t>ET</t>
    </r>
    <r>
      <rPr>
        <sz val="11"/>
        <color theme="1"/>
        <rFont val="Calibri"/>
        <family val="2"/>
        <scheme val="minor"/>
      </rPr>
      <t xml:space="preserve"> cumul des abattements 2%, 3% et Groupe III</t>
    </r>
  </si>
  <si>
    <t>Résultat 2035</t>
  </si>
  <si>
    <t>Revenu avant déduction médecin Secteur 1</t>
  </si>
  <si>
    <t>RÉSULTAT 2035</t>
  </si>
  <si>
    <t>Majoration 10%</t>
  </si>
  <si>
    <t>BASE DE CALCUL CHARGES SOCIALES</t>
  </si>
  <si>
    <t>Gains Divers, Cotisations facultatives et Exonérations complétés à 0 par défaut. Rubriques à modifier le cas échéant</t>
  </si>
  <si>
    <t>SANS AVANTAGES AGA</t>
  </si>
  <si>
    <t>Ce montant ne doit pas comprendre le forfait 2% : reporter résultat rub. CP + Forfait 2 %</t>
  </si>
  <si>
    <t>ÉTUDE COMPARATIVE ENTRE LA DÉDUCTION DU FORFAIT 2% UNIQUEMENT ET LE CUMUL DES ABATTEMENTS 2%, 3% ET GROUPE III</t>
  </si>
  <si>
    <t>EXERCICE 2023</t>
  </si>
  <si>
    <t>ÉTUDE COMPARATIVE ENTRE LA DÉDUCTION DU FORFAIT 2% SEUL ET LE CUMUL DES ABATTEMENTS 2%, 3% ET GROUPE III</t>
  </si>
  <si>
    <t></t>
  </si>
  <si>
    <t>Gains Divers complétés à 0 par défaut. Rubriques à modifier le cas échéant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</si>
</sst>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164" formatCode="#,##0.00\ &quot;€&quot;"/>
    <numFmt numFmtId="165" formatCode="0.0000%"/>
    <numFmt numFmtId="166" formatCode="_-* #,##0\ &quot;€&quot;_-;\-* #,##0\ &quot;€&quot;_-;_-* &quot;-&quot;??\ &quot;€&quot;_-;_-@_-"/>
    <numFmt numFmtId="167" formatCode="#,##0\ &quot;€&quot;"/>
    <numFmt numFmtId="168" formatCode="_-* #,##0\ [$€-40C]_-;\-* #,##0\ [$€-40C]_-;_-* &quot;-&quot;??\ [$€-40C]_-;_-@_-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4E4E4E"/>
      <name val="Montserrat"/>
    </font>
    <font>
      <b/>
      <sz val="12"/>
      <color rgb="FF4E4E4E"/>
      <name val="Montserrat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rgb="FF4E4E4E"/>
      <name val="Calibri"/>
      <family val="2"/>
      <scheme val="minor"/>
    </font>
    <font>
      <b/>
      <sz val="10"/>
      <color rgb="FF4E4E4E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sz val="18"/>
      <color theme="1"/>
      <name val="Wingdings"/>
      <charset val="2"/>
    </font>
    <font>
      <sz val="11"/>
      <color rgb="FF002060"/>
      <name val="Webdings"/>
      <family val="1"/>
      <charset val="2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b/>
      <u val="double"/>
      <sz val="14"/>
      <color rgb="FF002060"/>
      <name val="Arial"/>
      <family val="2"/>
    </font>
    <font>
      <sz val="18"/>
      <color theme="1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Arial"/>
      <family val="2"/>
    </font>
    <font>
      <sz val="11"/>
      <color rgb="FF002060"/>
      <name val="Arial"/>
      <family val="2"/>
    </font>
    <font>
      <i/>
      <sz val="11"/>
      <color rgb="FF002060"/>
      <name val="Arial"/>
      <family val="2"/>
    </font>
    <font>
      <b/>
      <sz val="11"/>
      <color rgb="FF002060"/>
      <name val="Arial"/>
      <family val="2"/>
    </font>
    <font>
      <i/>
      <sz val="18"/>
      <color theme="1"/>
      <name val="Arial"/>
      <family val="2"/>
    </font>
    <font>
      <i/>
      <sz val="11"/>
      <color theme="1"/>
      <name val="Arial"/>
      <family val="2"/>
    </font>
    <font>
      <b/>
      <sz val="10"/>
      <color rgb="FF002060"/>
      <name val="Arial"/>
      <family val="2"/>
    </font>
    <font>
      <b/>
      <i/>
      <sz val="10"/>
      <color rgb="FF002060"/>
      <name val="Arial"/>
      <family val="2"/>
    </font>
    <font>
      <b/>
      <sz val="14"/>
      <color rgb="FF002060"/>
      <name val="Arial"/>
      <family val="2"/>
    </font>
    <font>
      <b/>
      <u/>
      <sz val="12"/>
      <color rgb="FF002060"/>
      <name val="Arial"/>
      <family val="2"/>
    </font>
    <font>
      <sz val="12"/>
      <color rgb="FF00206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i/>
      <sz val="9"/>
      <color theme="1"/>
      <name val="Arial"/>
      <family val="2"/>
    </font>
    <font>
      <b/>
      <i/>
      <sz val="10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8"/>
      <color theme="1"/>
      <name val="Arial"/>
      <family val="2"/>
    </font>
    <font>
      <i/>
      <sz val="10"/>
      <color rgb="FF002060"/>
      <name val="Arial"/>
      <family val="2"/>
    </font>
    <font>
      <sz val="12"/>
      <color theme="1"/>
      <name val="Arial"/>
      <family val="2"/>
    </font>
    <font>
      <sz val="11"/>
      <color theme="1"/>
      <name val="Wingdings 3"/>
      <family val="1"/>
      <charset val="2"/>
    </font>
    <font>
      <i/>
      <sz val="10"/>
      <color theme="1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0070C0"/>
      </left>
      <right/>
      <top style="thick">
        <color rgb="FF0070C0"/>
      </top>
      <bottom/>
      <diagonal/>
    </border>
    <border>
      <left/>
      <right/>
      <top style="thick">
        <color rgb="FF0070C0"/>
      </top>
      <bottom/>
      <diagonal/>
    </border>
    <border>
      <left/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/>
      <top/>
      <bottom/>
      <diagonal/>
    </border>
    <border>
      <left/>
      <right style="thick">
        <color rgb="FF0070C0"/>
      </right>
      <top/>
      <bottom/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/>
      <right/>
      <top/>
      <bottom style="double">
        <color rgb="FF00206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</cellStyleXfs>
  <cellXfs count="211">
    <xf numFmtId="0" fontId="0" fillId="0" borderId="0" xfId="0"/>
    <xf numFmtId="164" fontId="0" fillId="0" borderId="1" xfId="0" applyNumberFormat="1" applyBorder="1"/>
    <xf numFmtId="0" fontId="4" fillId="0" borderId="0" xfId="0" applyFont="1"/>
    <xf numFmtId="0" fontId="3" fillId="0" borderId="0" xfId="0" applyFont="1"/>
    <xf numFmtId="9" fontId="0" fillId="0" borderId="0" xfId="1" applyFont="1"/>
    <xf numFmtId="164" fontId="0" fillId="0" borderId="0" xfId="0" applyNumberFormat="1"/>
    <xf numFmtId="9" fontId="0" fillId="0" borderId="0" xfId="0" applyNumberFormat="1"/>
    <xf numFmtId="164" fontId="0" fillId="2" borderId="1" xfId="0" applyNumberFormat="1" applyFill="1" applyBorder="1"/>
    <xf numFmtId="0" fontId="0" fillId="0" borderId="2" xfId="0" applyBorder="1"/>
    <xf numFmtId="164" fontId="0" fillId="3" borderId="1" xfId="0" applyNumberFormat="1" applyFill="1" applyBorder="1"/>
    <xf numFmtId="0" fontId="0" fillId="0" borderId="3" xfId="0" applyBorder="1"/>
    <xf numFmtId="0" fontId="5" fillId="0" borderId="3" xfId="0" applyFont="1" applyBorder="1"/>
    <xf numFmtId="0" fontId="3" fillId="0" borderId="3" xfId="0" applyFont="1" applyBorder="1"/>
    <xf numFmtId="0" fontId="5" fillId="0" borderId="0" xfId="0" applyFont="1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6" fillId="0" borderId="0" xfId="0" applyFont="1"/>
    <xf numFmtId="164" fontId="2" fillId="4" borderId="1" xfId="0" applyNumberFormat="1" applyFont="1" applyFill="1" applyBorder="1"/>
    <xf numFmtId="9" fontId="2" fillId="4" borderId="1" xfId="1" applyFont="1" applyFill="1" applyBorder="1"/>
    <xf numFmtId="0" fontId="0" fillId="0" borderId="7" xfId="0" applyBorder="1"/>
    <xf numFmtId="0" fontId="3" fillId="0" borderId="8" xfId="0" applyFont="1" applyBorder="1"/>
    <xf numFmtId="0" fontId="5" fillId="0" borderId="9" xfId="0" applyFont="1" applyBorder="1"/>
    <xf numFmtId="0" fontId="5" fillId="0" borderId="7" xfId="0" applyFont="1" applyBorder="1"/>
    <xf numFmtId="0" fontId="5" fillId="0" borderId="8" xfId="0" applyFont="1" applyBorder="1"/>
    <xf numFmtId="0" fontId="5" fillId="2" borderId="7" xfId="0" applyFont="1" applyFill="1" applyBorder="1"/>
    <xf numFmtId="164" fontId="0" fillId="0" borderId="8" xfId="0" applyNumberFormat="1" applyBorder="1"/>
    <xf numFmtId="0" fontId="4" fillId="3" borderId="10" xfId="0" applyFont="1" applyFill="1" applyBorder="1"/>
    <xf numFmtId="0" fontId="0" fillId="3" borderId="11" xfId="0" applyFill="1" applyBorder="1"/>
    <xf numFmtId="0" fontId="4" fillId="3" borderId="11" xfId="0" applyFont="1" applyFill="1" applyBorder="1"/>
    <xf numFmtId="0" fontId="0" fillId="0" borderId="11" xfId="0" applyBorder="1"/>
    <xf numFmtId="0" fontId="4" fillId="0" borderId="4" xfId="0" applyFont="1" applyBorder="1"/>
    <xf numFmtId="0" fontId="0" fillId="0" borderId="5" xfId="0" applyBorder="1"/>
    <xf numFmtId="164" fontId="4" fillId="0" borderId="6" xfId="0" applyNumberFormat="1" applyFont="1" applyBorder="1"/>
    <xf numFmtId="0" fontId="4" fillId="0" borderId="12" xfId="0" applyFont="1" applyBorder="1"/>
    <xf numFmtId="164" fontId="4" fillId="0" borderId="13" xfId="0" applyNumberFormat="1" applyFont="1" applyBorder="1"/>
    <xf numFmtId="0" fontId="4" fillId="0" borderId="10" xfId="0" applyFont="1" applyBorder="1"/>
    <xf numFmtId="164" fontId="4" fillId="0" borderId="14" xfId="0" applyNumberFormat="1" applyFont="1" applyBorder="1"/>
    <xf numFmtId="0" fontId="12" fillId="0" borderId="0" xfId="0" applyFont="1"/>
    <xf numFmtId="164" fontId="0" fillId="0" borderId="18" xfId="0" applyNumberFormat="1" applyBorder="1"/>
    <xf numFmtId="0" fontId="0" fillId="6" borderId="1" xfId="0" applyFill="1" applyBorder="1"/>
    <xf numFmtId="0" fontId="0" fillId="0" borderId="1" xfId="0" applyBorder="1"/>
    <xf numFmtId="10" fontId="0" fillId="6" borderId="1" xfId="0" applyNumberFormat="1" applyFill="1" applyBorder="1"/>
    <xf numFmtId="10" fontId="0" fillId="6" borderId="18" xfId="0" applyNumberFormat="1" applyFill="1" applyBorder="1"/>
    <xf numFmtId="0" fontId="0" fillId="0" borderId="23" xfId="0" applyBorder="1"/>
    <xf numFmtId="0" fontId="0" fillId="0" borderId="24" xfId="0" applyBorder="1"/>
    <xf numFmtId="0" fontId="15" fillId="0" borderId="0" xfId="0" applyFont="1" applyAlignment="1">
      <alignment horizontal="center"/>
    </xf>
    <xf numFmtId="0" fontId="15" fillId="0" borderId="24" xfId="0" applyFont="1" applyBorder="1" applyAlignment="1">
      <alignment horizontal="center"/>
    </xf>
    <xf numFmtId="0" fontId="3" fillId="6" borderId="25" xfId="0" applyFont="1" applyFill="1" applyBorder="1" applyAlignment="1">
      <alignment horizontal="center"/>
    </xf>
    <xf numFmtId="0" fontId="3" fillId="6" borderId="26" xfId="0" applyFont="1" applyFill="1" applyBorder="1" applyAlignment="1">
      <alignment horizontal="center"/>
    </xf>
    <xf numFmtId="10" fontId="3" fillId="6" borderId="26" xfId="1" applyNumberFormat="1" applyFont="1" applyFill="1" applyBorder="1" applyAlignment="1">
      <alignment horizontal="center"/>
    </xf>
    <xf numFmtId="9" fontId="3" fillId="6" borderId="26" xfId="1" applyFont="1" applyFill="1" applyBorder="1" applyAlignment="1">
      <alignment horizontal="center"/>
    </xf>
    <xf numFmtId="0" fontId="3" fillId="6" borderId="27" xfId="0" applyFont="1" applyFill="1" applyBorder="1" applyAlignment="1">
      <alignment horizontal="center"/>
    </xf>
    <xf numFmtId="10" fontId="3" fillId="6" borderId="26" xfId="0" applyNumberFormat="1" applyFont="1" applyFill="1" applyBorder="1" applyAlignment="1">
      <alignment horizontal="center"/>
    </xf>
    <xf numFmtId="0" fontId="17" fillId="7" borderId="30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/>
    </xf>
    <xf numFmtId="10" fontId="3" fillId="6" borderId="0" xfId="1" applyNumberFormat="1" applyFont="1" applyFill="1" applyBorder="1" applyAlignment="1">
      <alignment horizontal="center"/>
    </xf>
    <xf numFmtId="10" fontId="0" fillId="7" borderId="18" xfId="0" applyNumberFormat="1" applyFill="1" applyBorder="1"/>
    <xf numFmtId="10" fontId="0" fillId="7" borderId="1" xfId="0" applyNumberFormat="1" applyFill="1" applyBorder="1"/>
    <xf numFmtId="0" fontId="3" fillId="6" borderId="23" xfId="0" applyFont="1" applyFill="1" applyBorder="1" applyAlignment="1">
      <alignment horizontal="center"/>
    </xf>
    <xf numFmtId="0" fontId="3" fillId="6" borderId="24" xfId="0" applyFont="1" applyFill="1" applyBorder="1" applyAlignment="1">
      <alignment horizontal="center"/>
    </xf>
    <xf numFmtId="0" fontId="0" fillId="7" borderId="1" xfId="0" applyFill="1" applyBorder="1"/>
    <xf numFmtId="9" fontId="0" fillId="7" borderId="1" xfId="0" applyNumberFormat="1" applyFill="1" applyBorder="1"/>
    <xf numFmtId="165" fontId="3" fillId="6" borderId="26" xfId="1" applyNumberFormat="1" applyFont="1" applyFill="1" applyBorder="1" applyAlignment="1">
      <alignment horizontal="center"/>
    </xf>
    <xf numFmtId="0" fontId="0" fillId="7" borderId="19" xfId="0" applyFill="1" applyBorder="1"/>
    <xf numFmtId="0" fontId="0" fillId="0" borderId="18" xfId="0" applyBorder="1"/>
    <xf numFmtId="0" fontId="0" fillId="7" borderId="18" xfId="0" applyFill="1" applyBorder="1"/>
    <xf numFmtId="0" fontId="18" fillId="8" borderId="30" xfId="0" applyFont="1" applyFill="1" applyBorder="1" applyAlignment="1">
      <alignment horizontal="center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15" xfId="0" applyBorder="1"/>
    <xf numFmtId="0" fontId="0" fillId="0" borderId="38" xfId="0" applyBorder="1"/>
    <xf numFmtId="0" fontId="0" fillId="0" borderId="39" xfId="0" applyBorder="1"/>
    <xf numFmtId="0" fontId="0" fillId="0" borderId="9" xfId="0" applyBorder="1"/>
    <xf numFmtId="0" fontId="0" fillId="0" borderId="12" xfId="0" applyBorder="1"/>
    <xf numFmtId="9" fontId="11" fillId="4" borderId="19" xfId="1" applyFont="1" applyFill="1" applyBorder="1"/>
    <xf numFmtId="1" fontId="3" fillId="6" borderId="26" xfId="0" applyNumberFormat="1" applyFont="1" applyFill="1" applyBorder="1" applyAlignment="1">
      <alignment horizontal="center"/>
    </xf>
    <xf numFmtId="164" fontId="5" fillId="0" borderId="1" xfId="0" applyNumberFormat="1" applyFont="1" applyBorder="1"/>
    <xf numFmtId="0" fontId="20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2" fontId="0" fillId="0" borderId="0" xfId="0" applyNumberFormat="1"/>
    <xf numFmtId="0" fontId="28" fillId="0" borderId="0" xfId="0" applyFont="1" applyAlignment="1">
      <alignment horizontal="center" vertic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166" fontId="23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30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49" xfId="0" applyFont="1" applyBorder="1" applyAlignment="1">
      <alignment horizontal="right" vertical="center"/>
    </xf>
    <xf numFmtId="0" fontId="30" fillId="0" borderId="49" xfId="0" applyFont="1" applyBorder="1" applyAlignment="1">
      <alignment vertical="center"/>
    </xf>
    <xf numFmtId="0" fontId="29" fillId="0" borderId="49" xfId="0" applyFont="1" applyBorder="1" applyAlignment="1">
      <alignment vertical="center"/>
    </xf>
    <xf numFmtId="0" fontId="27" fillId="10" borderId="44" xfId="0" applyFont="1" applyFill="1" applyBorder="1" applyAlignment="1">
      <alignment vertical="center"/>
    </xf>
    <xf numFmtId="0" fontId="27" fillId="10" borderId="46" xfId="0" applyFont="1" applyFill="1" applyBorder="1" applyAlignment="1">
      <alignment vertical="center"/>
    </xf>
    <xf numFmtId="0" fontId="31" fillId="10" borderId="46" xfId="0" applyFont="1" applyFill="1" applyBorder="1" applyAlignment="1">
      <alignment vertical="center"/>
    </xf>
    <xf numFmtId="0" fontId="27" fillId="10" borderId="40" xfId="0" applyFont="1" applyFill="1" applyBorder="1" applyAlignment="1">
      <alignment vertical="center"/>
    </xf>
    <xf numFmtId="0" fontId="27" fillId="10" borderId="41" xfId="0" applyFont="1" applyFill="1" applyBorder="1" applyAlignment="1">
      <alignment vertical="center"/>
    </xf>
    <xf numFmtId="0" fontId="31" fillId="10" borderId="41" xfId="0" applyFont="1" applyFill="1" applyBorder="1" applyAlignment="1">
      <alignment vertical="center"/>
    </xf>
    <xf numFmtId="0" fontId="31" fillId="10" borderId="42" xfId="0" applyFont="1" applyFill="1" applyBorder="1" applyAlignment="1">
      <alignment vertical="center"/>
    </xf>
    <xf numFmtId="0" fontId="31" fillId="10" borderId="43" xfId="0" applyFont="1" applyFill="1" applyBorder="1" applyAlignment="1">
      <alignment vertical="center"/>
    </xf>
    <xf numFmtId="0" fontId="29" fillId="10" borderId="44" xfId="0" applyFont="1" applyFill="1" applyBorder="1" applyAlignment="1">
      <alignment vertical="center"/>
    </xf>
    <xf numFmtId="0" fontId="32" fillId="0" borderId="0" xfId="0" applyFont="1" applyAlignment="1">
      <alignment horizontal="center" vertical="center" wrapText="1"/>
    </xf>
    <xf numFmtId="0" fontId="33" fillId="0" borderId="0" xfId="0" applyFont="1" applyAlignment="1">
      <alignment vertical="center"/>
    </xf>
    <xf numFmtId="166" fontId="28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left" indent="5"/>
    </xf>
    <xf numFmtId="167" fontId="23" fillId="0" borderId="0" xfId="0" applyNumberFormat="1" applyFont="1" applyAlignment="1">
      <alignment horizontal="right"/>
    </xf>
    <xf numFmtId="0" fontId="43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top"/>
    </xf>
    <xf numFmtId="0" fontId="45" fillId="0" borderId="0" xfId="0" applyFont="1" applyAlignment="1">
      <alignment vertical="center"/>
    </xf>
    <xf numFmtId="0" fontId="44" fillId="0" borderId="0" xfId="0" applyFont="1"/>
    <xf numFmtId="166" fontId="47" fillId="0" borderId="0" xfId="2" applyNumberFormat="1" applyFont="1" applyAlignment="1">
      <alignment vertical="center" wrapText="1"/>
    </xf>
    <xf numFmtId="0" fontId="27" fillId="0" borderId="0" xfId="0" applyFont="1" applyAlignment="1">
      <alignment vertical="center"/>
    </xf>
    <xf numFmtId="0" fontId="29" fillId="0" borderId="0" xfId="0" applyFont="1"/>
    <xf numFmtId="0" fontId="31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168" fontId="29" fillId="0" borderId="0" xfId="0" applyNumberFormat="1" applyFont="1" applyAlignment="1">
      <alignment vertical="center"/>
    </xf>
    <xf numFmtId="168" fontId="31" fillId="0" borderId="0" xfId="0" applyNumberFormat="1" applyFont="1" applyAlignment="1">
      <alignment vertical="center"/>
    </xf>
    <xf numFmtId="0" fontId="31" fillId="0" borderId="0" xfId="0" applyFont="1" applyAlignment="1">
      <alignment horizontal="right" vertical="center"/>
    </xf>
    <xf numFmtId="0" fontId="48" fillId="0" borderId="0" xfId="0" applyFont="1" applyAlignment="1">
      <alignment vertical="center"/>
    </xf>
    <xf numFmtId="0" fontId="29" fillId="0" borderId="0" xfId="0" applyFont="1" applyAlignment="1">
      <alignment horizontal="left" vertical="top" wrapText="1"/>
    </xf>
    <xf numFmtId="0" fontId="49" fillId="0" borderId="0" xfId="0" applyFont="1" applyAlignment="1">
      <alignment horizontal="left" vertical="center" wrapText="1"/>
    </xf>
    <xf numFmtId="0" fontId="46" fillId="0" borderId="0" xfId="0" applyFont="1" applyAlignment="1">
      <alignment horizontal="left" vertical="center" wrapText="1"/>
    </xf>
    <xf numFmtId="0" fontId="49" fillId="0" borderId="0" xfId="0" applyFont="1" applyAlignment="1">
      <alignment horizontal="left" vertical="top" wrapText="1"/>
    </xf>
    <xf numFmtId="0" fontId="50" fillId="0" borderId="0" xfId="0" applyFont="1" applyAlignment="1">
      <alignment horizontal="left" vertical="center" wrapText="1"/>
    </xf>
    <xf numFmtId="0" fontId="51" fillId="0" borderId="0" xfId="3" applyAlignment="1" applyProtection="1">
      <alignment horizontal="left" vertical="top" wrapText="1"/>
      <protection locked="0"/>
    </xf>
    <xf numFmtId="0" fontId="42" fillId="0" borderId="0" xfId="0" applyFont="1" applyAlignment="1">
      <alignment vertical="center" wrapText="1"/>
    </xf>
    <xf numFmtId="0" fontId="42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27" fillId="5" borderId="44" xfId="0" applyFont="1" applyFill="1" applyBorder="1" applyAlignment="1" applyProtection="1">
      <alignment horizontal="center" vertical="center"/>
      <protection locked="0"/>
    </xf>
    <xf numFmtId="0" fontId="27" fillId="5" borderId="46" xfId="0" applyFont="1" applyFill="1" applyBorder="1" applyAlignment="1" applyProtection="1">
      <alignment horizontal="center" vertical="center"/>
      <protection locked="0"/>
    </xf>
    <xf numFmtId="0" fontId="27" fillId="5" borderId="45" xfId="0" applyFont="1" applyFill="1" applyBorder="1" applyAlignment="1" applyProtection="1">
      <alignment horizontal="center" vertical="center"/>
      <protection locked="0"/>
    </xf>
    <xf numFmtId="166" fontId="27" fillId="5" borderId="44" xfId="0" applyNumberFormat="1" applyFont="1" applyFill="1" applyBorder="1" applyAlignment="1" applyProtection="1">
      <alignment horizontal="center" vertical="center"/>
      <protection locked="0"/>
    </xf>
    <xf numFmtId="166" fontId="27" fillId="5" borderId="45" xfId="0" applyNumberFormat="1" applyFont="1" applyFill="1" applyBorder="1" applyAlignment="1" applyProtection="1">
      <alignment horizontal="center" vertical="center"/>
      <protection locked="0"/>
    </xf>
    <xf numFmtId="0" fontId="34" fillId="10" borderId="0" xfId="0" applyFont="1" applyFill="1" applyAlignment="1">
      <alignment horizontal="right" vertical="center"/>
    </xf>
    <xf numFmtId="0" fontId="34" fillId="10" borderId="43" xfId="0" applyFont="1" applyFill="1" applyBorder="1" applyAlignment="1">
      <alignment horizontal="right" vertical="center"/>
    </xf>
    <xf numFmtId="166" fontId="27" fillId="5" borderId="15" xfId="0" applyNumberFormat="1" applyFont="1" applyFill="1" applyBorder="1" applyAlignment="1" applyProtection="1">
      <alignment horizontal="center" vertical="center"/>
      <protection locked="0"/>
    </xf>
    <xf numFmtId="166" fontId="27" fillId="5" borderId="17" xfId="0" applyNumberFormat="1" applyFont="1" applyFill="1" applyBorder="1" applyAlignment="1" applyProtection="1">
      <alignment horizontal="center" vertical="center"/>
      <protection locked="0"/>
    </xf>
    <xf numFmtId="0" fontId="35" fillId="10" borderId="43" xfId="0" applyFont="1" applyFill="1" applyBorder="1" applyAlignment="1">
      <alignment horizontal="center" vertical="center"/>
    </xf>
    <xf numFmtId="0" fontId="35" fillId="10" borderId="48" xfId="0" applyFont="1" applyFill="1" applyBorder="1" applyAlignment="1">
      <alignment horizontal="center" vertical="center"/>
    </xf>
    <xf numFmtId="0" fontId="23" fillId="0" borderId="0" xfId="0" applyFont="1" applyAlignment="1" applyProtection="1">
      <alignment horizontal="center" vertical="center" wrapText="1"/>
      <protection locked="0"/>
    </xf>
    <xf numFmtId="0" fontId="36" fillId="0" borderId="0" xfId="0" applyFont="1" applyAlignment="1">
      <alignment horizontal="center" vertical="center"/>
    </xf>
    <xf numFmtId="0" fontId="36" fillId="5" borderId="44" xfId="0" applyFont="1" applyFill="1" applyBorder="1" applyAlignment="1" applyProtection="1">
      <alignment horizontal="center" vertical="center"/>
      <protection locked="0"/>
    </xf>
    <xf numFmtId="0" fontId="36" fillId="5" borderId="46" xfId="0" applyFont="1" applyFill="1" applyBorder="1" applyAlignment="1" applyProtection="1">
      <alignment horizontal="center" vertical="center"/>
      <protection locked="0"/>
    </xf>
    <xf numFmtId="0" fontId="36" fillId="5" borderId="45" xfId="0" applyFont="1" applyFill="1" applyBorder="1" applyAlignment="1" applyProtection="1">
      <alignment horizontal="center" vertical="center"/>
      <protection locked="0"/>
    </xf>
    <xf numFmtId="0" fontId="24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27" fillId="10" borderId="40" xfId="0" applyFont="1" applyFill="1" applyBorder="1" applyAlignment="1">
      <alignment horizontal="center" vertical="center" wrapText="1"/>
    </xf>
    <xf numFmtId="0" fontId="27" fillId="10" borderId="41" xfId="0" applyFont="1" applyFill="1" applyBorder="1" applyAlignment="1">
      <alignment horizontal="center" vertical="center" wrapText="1"/>
    </xf>
    <xf numFmtId="0" fontId="27" fillId="10" borderId="42" xfId="0" applyFont="1" applyFill="1" applyBorder="1" applyAlignment="1">
      <alignment horizontal="center" vertical="center" wrapText="1"/>
    </xf>
    <xf numFmtId="0" fontId="27" fillId="10" borderId="43" xfId="0" applyFont="1" applyFill="1" applyBorder="1" applyAlignment="1">
      <alignment horizontal="center" vertical="center" wrapText="1"/>
    </xf>
    <xf numFmtId="0" fontId="34" fillId="10" borderId="41" xfId="0" applyFont="1" applyFill="1" applyBorder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7" fillId="10" borderId="40" xfId="0" applyFont="1" applyFill="1" applyBorder="1" applyAlignment="1">
      <alignment horizontal="center" vertical="center"/>
    </xf>
    <xf numFmtId="0" fontId="27" fillId="10" borderId="41" xfId="0" applyFont="1" applyFill="1" applyBorder="1" applyAlignment="1">
      <alignment horizontal="center" vertical="center"/>
    </xf>
    <xf numFmtId="0" fontId="27" fillId="10" borderId="47" xfId="0" applyFont="1" applyFill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7" fillId="10" borderId="42" xfId="0" applyFont="1" applyFill="1" applyBorder="1" applyAlignment="1">
      <alignment horizontal="center" vertical="center"/>
    </xf>
    <xf numFmtId="0" fontId="27" fillId="10" borderId="43" xfId="0" applyFont="1" applyFill="1" applyBorder="1" applyAlignment="1">
      <alignment horizontal="center" vertical="center"/>
    </xf>
    <xf numFmtId="0" fontId="27" fillId="0" borderId="8" xfId="0" applyFont="1" applyBorder="1" applyAlignment="1">
      <alignment horizontal="left" vertical="center"/>
    </xf>
    <xf numFmtId="9" fontId="27" fillId="5" borderId="44" xfId="1" applyFont="1" applyFill="1" applyBorder="1" applyAlignment="1" applyProtection="1">
      <alignment horizontal="center" vertical="center"/>
      <protection locked="0"/>
    </xf>
    <xf numFmtId="9" fontId="27" fillId="5" borderId="45" xfId="1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 wrapText="1"/>
    </xf>
    <xf numFmtId="0" fontId="51" fillId="0" borderId="0" xfId="3" applyAlignment="1" applyProtection="1">
      <alignment horizontal="left" vertical="center"/>
    </xf>
    <xf numFmtId="0" fontId="40" fillId="0" borderId="0" xfId="0" applyFont="1" applyAlignment="1">
      <alignment horizontal="left" vertical="center" indent="3"/>
    </xf>
    <xf numFmtId="0" fontId="40" fillId="0" borderId="0" xfId="0" applyFont="1" applyAlignment="1">
      <alignment horizontal="center" vertical="center" wrapText="1"/>
    </xf>
    <xf numFmtId="0" fontId="23" fillId="0" borderId="0" xfId="0" applyFont="1" applyAlignment="1">
      <alignment horizontal="right" vertical="center" wrapText="1"/>
    </xf>
    <xf numFmtId="0" fontId="23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14" fillId="8" borderId="20" xfId="0" applyFont="1" applyFill="1" applyBorder="1" applyAlignment="1">
      <alignment horizontal="center" vertical="center"/>
    </xf>
    <xf numFmtId="0" fontId="14" fillId="8" borderId="21" xfId="0" applyFont="1" applyFill="1" applyBorder="1" applyAlignment="1">
      <alignment horizontal="center" vertical="center"/>
    </xf>
    <xf numFmtId="0" fontId="14" fillId="8" borderId="22" xfId="0" applyFont="1" applyFill="1" applyBorder="1" applyAlignment="1">
      <alignment horizontal="center" vertical="center"/>
    </xf>
    <xf numFmtId="0" fontId="14" fillId="8" borderId="20" xfId="0" applyFont="1" applyFill="1" applyBorder="1" applyAlignment="1">
      <alignment horizontal="center"/>
    </xf>
    <xf numFmtId="0" fontId="14" fillId="8" borderId="21" xfId="0" applyFont="1" applyFill="1" applyBorder="1" applyAlignment="1">
      <alignment horizontal="center"/>
    </xf>
    <xf numFmtId="0" fontId="14" fillId="8" borderId="22" xfId="0" applyFont="1" applyFill="1" applyBorder="1" applyAlignment="1">
      <alignment horizontal="center"/>
    </xf>
    <xf numFmtId="0" fontId="16" fillId="7" borderId="28" xfId="0" applyFont="1" applyFill="1" applyBorder="1" applyAlignment="1">
      <alignment horizontal="center" vertical="center"/>
    </xf>
    <xf numFmtId="0" fontId="16" fillId="7" borderId="29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8" fillId="8" borderId="28" xfId="0" applyFont="1" applyFill="1" applyBorder="1" applyAlignment="1">
      <alignment horizontal="center" vertical="center"/>
    </xf>
    <xf numFmtId="0" fontId="18" fillId="8" borderId="29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50" fillId="0" borderId="0" xfId="0" applyFont="1" applyAlignment="1">
      <alignment horizontal="left" vertical="center" wrapText="1"/>
    </xf>
    <xf numFmtId="0" fontId="49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center"/>
    </xf>
  </cellXfs>
  <cellStyles count="4">
    <cellStyle name="Lien hypertexte" xfId="3" builtinId="8"/>
    <cellStyle name="Monétaire" xfId="2" builtinId="4"/>
    <cellStyle name="Normal" xfId="0" builtinId="0"/>
    <cellStyle name="Pourcentage" xfId="1" builtinId="5"/>
  </cellStyles>
  <dxfs count="28">
    <dxf>
      <font>
        <b/>
        <i val="0"/>
        <color rgb="FF002060"/>
      </font>
      <fill>
        <patternFill>
          <bgColor rgb="FFFFC000"/>
        </patternFill>
      </fill>
      <border>
        <right style="thin">
          <color rgb="FF002060"/>
        </right>
        <top style="thin">
          <color rgb="FF002060"/>
        </top>
        <bottom style="thin">
          <color rgb="FF002060"/>
        </bottom>
        <vertical/>
        <horizontal/>
      </border>
    </dxf>
    <dxf>
      <fill>
        <patternFill>
          <bgColor theme="8" tint="0.39994506668294322"/>
        </patternFill>
      </fill>
    </dxf>
    <dxf>
      <border>
        <vertical/>
        <horizontal/>
      </border>
    </dxf>
    <dxf>
      <fill>
        <patternFill>
          <bgColor theme="8" tint="0.39994506668294322"/>
        </patternFill>
      </fill>
    </dxf>
    <dxf>
      <border>
        <vertical/>
        <horizontal/>
      </border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b/>
        <i val="0"/>
        <color rgb="FF002060"/>
      </font>
      <fill>
        <patternFill>
          <bgColor rgb="FFFFC000"/>
        </patternFill>
      </fill>
      <border>
        <left style="thin">
          <color rgb="FF002060"/>
        </left>
        <top style="thin">
          <color rgb="FF002060"/>
        </top>
        <bottom style="thin">
          <color rgb="FF002060"/>
        </bottom>
        <vertical/>
        <horizontal/>
      </border>
    </dxf>
    <dxf>
      <font>
        <b/>
        <i val="0"/>
        <color rgb="FF002060"/>
      </font>
      <fill>
        <patternFill>
          <bgColor theme="8" tint="0.39994506668294322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border>
        <right style="thin">
          <color theme="8" tint="-0.499984740745262"/>
        </right>
        <bottom style="thin">
          <color theme="8" tint="-0.499984740745262"/>
        </bottom>
        <vertical/>
        <horizontal/>
      </border>
    </dxf>
    <dxf>
      <border>
        <right style="thin">
          <color theme="8" tint="-0.499984740745262"/>
        </right>
        <vertical/>
        <horizontal/>
      </border>
    </dxf>
    <dxf>
      <border>
        <right style="thin">
          <color theme="8" tint="-0.499984740745262"/>
        </right>
        <top style="thin">
          <color theme="8" tint="-0.499984740745262"/>
        </top>
        <vertical/>
        <horizontal/>
      </border>
    </dxf>
    <dxf>
      <border>
        <left/>
        <top style="thin">
          <color theme="8" tint="-0.499984740745262"/>
        </top>
        <vertical/>
        <horizontal/>
      </border>
    </dxf>
    <dxf>
      <font>
        <b/>
        <i/>
        <color rgb="FFFF0000"/>
      </font>
      <border>
        <bottom style="thin">
          <color theme="8" tint="-0.499984740745262"/>
        </bottom>
      </border>
    </dxf>
    <dxf>
      <font>
        <color rgb="FF002060"/>
      </font>
    </dxf>
    <dxf>
      <font>
        <b/>
        <i val="0"/>
        <color rgb="FF002060"/>
      </font>
      <fill>
        <patternFill patternType="solid">
          <bgColor rgb="FFFFC000"/>
        </patternFill>
      </fill>
    </dxf>
    <dxf>
      <border>
        <left style="thin">
          <color theme="8" tint="-0.499984740745262"/>
        </left>
        <bottom style="thin">
          <color theme="8" tint="-0.499984740745262"/>
        </bottom>
      </border>
    </dxf>
    <dxf>
      <border>
        <left style="thin">
          <color theme="8" tint="-0.499984740745262"/>
        </left>
        <vertical/>
        <horizontal/>
      </border>
    </dxf>
    <dxf>
      <border>
        <left style="thin">
          <color theme="8" tint="-0.499984740745262"/>
        </left>
        <top style="thin">
          <color theme="8" tint="-0.499984740745262"/>
        </top>
        <vertical/>
        <horizontal/>
      </border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B050"/>
      </font>
    </dxf>
    <dxf>
      <font>
        <b/>
        <i val="0"/>
        <color rgb="FFFF0000"/>
      </font>
    </dxf>
    <dxf>
      <font>
        <color rgb="FF002060"/>
      </font>
      <fill>
        <patternFill>
          <bgColor theme="8" tint="0.39994506668294322"/>
        </patternFill>
      </fill>
    </dxf>
    <dxf>
      <font>
        <b/>
        <i val="0"/>
        <color rgb="FF00B050"/>
      </font>
    </dxf>
    <dxf>
      <font>
        <b/>
        <i val="0"/>
        <color rgb="FFFF0000"/>
      </font>
    </dxf>
    <dxf>
      <font>
        <color rgb="FF002060"/>
      </font>
      <fill>
        <patternFill>
          <bgColor theme="8" tint="0.39994506668294322"/>
        </patternFill>
      </fill>
    </dxf>
  </dxfs>
  <tableStyles count="0" defaultTableStyle="TableStyleMedium2" defaultPivotStyle="PivotStyleLight16"/>
  <colors>
    <mruColors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0</xdr:row>
      <xdr:rowOff>83554</xdr:rowOff>
    </xdr:from>
    <xdr:to>
      <xdr:col>2</xdr:col>
      <xdr:colOff>886412</xdr:colOff>
      <xdr:row>4</xdr:row>
      <xdr:rowOff>19050</xdr:rowOff>
    </xdr:to>
    <xdr:pic>
      <xdr:nvPicPr>
        <xdr:cNvPr id="2" name="Image 2" descr="logo_quadri_HD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599" y="83554"/>
          <a:ext cx="2029413" cy="1040396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257175</xdr:colOff>
      <xdr:row>17</xdr:row>
      <xdr:rowOff>104774</xdr:rowOff>
    </xdr:from>
    <xdr:to>
      <xdr:col>9</xdr:col>
      <xdr:colOff>447675</xdr:colOff>
      <xdr:row>25</xdr:row>
      <xdr:rowOff>228599</xdr:rowOff>
    </xdr:to>
    <xdr:sp macro="" textlink="">
      <xdr:nvSpPr>
        <xdr:cNvPr id="3" name="Accolade ferman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724900" y="3962399"/>
          <a:ext cx="190500" cy="1952625"/>
        </a:xfrm>
        <a:prstGeom prst="rightBrace">
          <a:avLst>
            <a:gd name="adj1" fmla="val 90741"/>
            <a:gd name="adj2" fmla="val 50505"/>
          </a:avLst>
        </a:prstGeom>
        <a:ln w="381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0</xdr:row>
      <xdr:rowOff>83554</xdr:rowOff>
    </xdr:from>
    <xdr:to>
      <xdr:col>2</xdr:col>
      <xdr:colOff>410162</xdr:colOff>
      <xdr:row>4</xdr:row>
      <xdr:rowOff>19050</xdr:rowOff>
    </xdr:to>
    <xdr:pic>
      <xdr:nvPicPr>
        <xdr:cNvPr id="2" name="Image 2" descr="logo_quadri_H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599" y="83554"/>
          <a:ext cx="2029413" cy="1040396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247650</xdr:colOff>
      <xdr:row>16</xdr:row>
      <xdr:rowOff>85724</xdr:rowOff>
    </xdr:from>
    <xdr:to>
      <xdr:col>9</xdr:col>
      <xdr:colOff>438150</xdr:colOff>
      <xdr:row>18</xdr:row>
      <xdr:rowOff>257175</xdr:rowOff>
    </xdr:to>
    <xdr:sp macro="" textlink="">
      <xdr:nvSpPr>
        <xdr:cNvPr id="3" name="Accolade fermant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144000" y="3857624"/>
          <a:ext cx="190500" cy="533401"/>
        </a:xfrm>
        <a:prstGeom prst="rightBrace">
          <a:avLst>
            <a:gd name="adj1" fmla="val 90741"/>
            <a:gd name="adj2" fmla="val 50505"/>
          </a:avLst>
        </a:prstGeom>
        <a:ln w="381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142876</xdr:colOff>
      <xdr:row>19</xdr:row>
      <xdr:rowOff>37135</xdr:rowOff>
    </xdr:from>
    <xdr:to>
      <xdr:col>5</xdr:col>
      <xdr:colOff>47625</xdr:colOff>
      <xdr:row>24</xdr:row>
      <xdr:rowOff>30745</xdr:rowOff>
    </xdr:to>
    <xdr:pic>
      <xdr:nvPicPr>
        <xdr:cNvPr id="2" name="Image 2" descr="logo_quadri_HD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91326" y="15534310"/>
          <a:ext cx="1952624" cy="89848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42</xdr:row>
      <xdr:rowOff>85725</xdr:rowOff>
    </xdr:from>
    <xdr:to>
      <xdr:col>10</xdr:col>
      <xdr:colOff>722848</xdr:colOff>
      <xdr:row>70</xdr:row>
      <xdr:rowOff>161249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2475" y="8029575"/>
          <a:ext cx="8419048" cy="54095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485776</xdr:colOff>
      <xdr:row>31</xdr:row>
      <xdr:rowOff>46660</xdr:rowOff>
    </xdr:from>
    <xdr:to>
      <xdr:col>4</xdr:col>
      <xdr:colOff>1228725</xdr:colOff>
      <xdr:row>36</xdr:row>
      <xdr:rowOff>40270</xdr:rowOff>
    </xdr:to>
    <xdr:pic>
      <xdr:nvPicPr>
        <xdr:cNvPr id="2" name="Image 2" descr="logo_quadri_HD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76851" y="6456985"/>
          <a:ext cx="1952624" cy="89848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bofip.impots.gouv.fr/bofip/6572-PGP.html/identifiant=BOI-BAREME-000025-20150805" TargetMode="External"/><Relationship Id="rId1" Type="http://schemas.openxmlformats.org/officeDocument/2006/relationships/hyperlink" Target="https://bofip.impots.gouv.fr/bofip/5962-PGP.html/identifiant=BOI-BNC-SECT-40-20210512" TargetMode="External"/><Relationship Id="rId4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urssaf.fr/portail/files/live/sites/urssaf/files/pdf/guide_pam_3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C000"/>
  </sheetPr>
  <dimension ref="B1:N33"/>
  <sheetViews>
    <sheetView showGridLines="0" topLeftCell="A7" zoomScaleNormal="100" workbookViewId="0">
      <selection activeCell="G12" sqref="G12:H12"/>
    </sheetView>
  </sheetViews>
  <sheetFormatPr baseColWidth="10" defaultRowHeight="21.75" customHeight="1"/>
  <cols>
    <col min="1" max="1" width="12" style="89" customWidth="1"/>
    <col min="2" max="2" width="8.5703125" style="89" customWidth="1"/>
    <col min="3" max="3" width="17.28515625" style="89" customWidth="1"/>
    <col min="4" max="4" width="21.7109375" style="89" customWidth="1"/>
    <col min="5" max="5" width="12.42578125" style="89" customWidth="1"/>
    <col min="6" max="6" width="15.140625" style="89" customWidth="1"/>
    <col min="7" max="7" width="11.42578125" style="89"/>
    <col min="8" max="8" width="17" style="89" customWidth="1"/>
    <col min="9" max="9" width="11.42578125" style="96"/>
    <col min="10" max="16384" width="11.42578125" style="89"/>
  </cols>
  <sheetData>
    <row r="1" spans="2:10" ht="21.75" customHeight="1">
      <c r="D1" s="160" t="s">
        <v>130</v>
      </c>
      <c r="E1" s="160"/>
      <c r="F1" s="160"/>
      <c r="G1" s="160"/>
      <c r="H1" s="160"/>
      <c r="I1" s="94"/>
    </row>
    <row r="2" spans="2:10" ht="21.75" customHeight="1">
      <c r="D2" s="159" t="s">
        <v>148</v>
      </c>
      <c r="E2" s="159"/>
      <c r="F2" s="159"/>
      <c r="G2" s="159"/>
      <c r="H2" s="159"/>
      <c r="I2" s="95"/>
    </row>
    <row r="3" spans="2:10" ht="21.75" customHeight="1">
      <c r="D3" s="159"/>
      <c r="E3" s="159"/>
      <c r="F3" s="159"/>
      <c r="G3" s="159"/>
      <c r="H3" s="159"/>
      <c r="I3" s="95"/>
    </row>
    <row r="4" spans="2:10" ht="21.75" customHeight="1">
      <c r="D4" s="159"/>
      <c r="E4" s="159"/>
      <c r="F4" s="159"/>
      <c r="G4" s="159"/>
      <c r="H4" s="159"/>
      <c r="I4" s="95"/>
    </row>
    <row r="5" spans="2:10" ht="9.75" customHeight="1"/>
    <row r="6" spans="2:10" ht="21.75" customHeight="1">
      <c r="B6" s="169">
        <v>2023</v>
      </c>
      <c r="C6" s="169"/>
      <c r="D6" s="169"/>
      <c r="E6" s="169"/>
      <c r="F6" s="169"/>
      <c r="G6" s="169"/>
      <c r="H6" s="169"/>
    </row>
    <row r="7" spans="2:10" ht="10.5" customHeight="1" thickBot="1">
      <c r="B7" s="97"/>
      <c r="C7" s="97"/>
      <c r="D7" s="97"/>
      <c r="E7" s="97"/>
      <c r="F7" s="97"/>
      <c r="G7" s="97"/>
      <c r="H7" s="97"/>
    </row>
    <row r="8" spans="2:10" ht="21.75" customHeight="1" thickBot="1">
      <c r="B8" s="155" t="s">
        <v>120</v>
      </c>
      <c r="C8" s="155"/>
      <c r="D8" s="155"/>
      <c r="E8" s="156"/>
      <c r="F8" s="157"/>
      <c r="G8" s="157"/>
      <c r="H8" s="158"/>
    </row>
    <row r="9" spans="2:10" ht="21.75" customHeight="1" thickBot="1"/>
    <row r="10" spans="2:10" ht="21.75" customHeight="1" thickBot="1">
      <c r="B10" s="142" t="s">
        <v>121</v>
      </c>
      <c r="C10" s="142"/>
      <c r="D10" s="142"/>
      <c r="E10" s="143">
        <f>'FORMULAIRE A COMPLETER'!E10:H10</f>
        <v>0</v>
      </c>
      <c r="F10" s="144"/>
      <c r="G10" s="144"/>
      <c r="H10" s="145"/>
      <c r="I10" s="98" t="str">
        <f>IF(E10="","û","ü")</f>
        <v>ü</v>
      </c>
      <c r="J10" s="99" t="str">
        <f>IF(E10="","rubrique à compléter, utiliser le menu déroulant","")</f>
        <v/>
      </c>
    </row>
    <row r="11" spans="2:10" ht="6.75" customHeight="1" thickBot="1">
      <c r="B11" s="100"/>
      <c r="C11" s="100"/>
      <c r="D11" s="100"/>
      <c r="E11" s="100"/>
      <c r="F11" s="100"/>
      <c r="G11" s="100"/>
      <c r="H11" s="100"/>
      <c r="I11" s="98"/>
      <c r="J11" s="99"/>
    </row>
    <row r="12" spans="2:10" ht="21.75" customHeight="1" thickBot="1">
      <c r="B12" s="142" t="s">
        <v>137</v>
      </c>
      <c r="C12" s="142"/>
      <c r="D12" s="142"/>
      <c r="E12" s="142"/>
      <c r="F12" s="176"/>
      <c r="G12" s="150">
        <f>'FORMULAIRE A COMPLETER'!G12:H12</f>
        <v>0</v>
      </c>
      <c r="H12" s="151"/>
      <c r="I12" s="98" t="str">
        <f>IF(FORMULAIRE!G12="","û","ü")</f>
        <v>ü</v>
      </c>
      <c r="J12" s="99" t="str">
        <f>IF(G12="","rubrique à compléter","")</f>
        <v/>
      </c>
    </row>
    <row r="13" spans="2:10" ht="21.75" customHeight="1">
      <c r="B13" s="101" t="s">
        <v>104</v>
      </c>
      <c r="C13" s="102" t="s">
        <v>138</v>
      </c>
      <c r="D13" s="103"/>
      <c r="E13" s="102"/>
      <c r="F13" s="102"/>
      <c r="G13" s="102"/>
      <c r="H13" s="102"/>
      <c r="J13" s="99"/>
    </row>
    <row r="14" spans="2:10" ht="13.5" customHeight="1" thickBot="1">
      <c r="B14" s="104"/>
      <c r="C14" s="105"/>
      <c r="D14" s="106"/>
      <c r="E14" s="105"/>
      <c r="F14" s="105"/>
      <c r="G14" s="105"/>
      <c r="H14" s="105"/>
      <c r="J14" s="99"/>
    </row>
    <row r="15" spans="2:10" ht="17.25" customHeight="1" thickTop="1" thickBot="1">
      <c r="B15" s="100"/>
      <c r="C15" s="100"/>
      <c r="D15" s="100"/>
      <c r="E15" s="100"/>
      <c r="F15" s="100"/>
      <c r="G15" s="100"/>
      <c r="H15" s="100"/>
      <c r="J15" s="99"/>
    </row>
    <row r="16" spans="2:10" ht="21.75" customHeight="1" thickBot="1">
      <c r="B16" s="107"/>
      <c r="C16" s="108" t="s">
        <v>101</v>
      </c>
      <c r="D16" s="109"/>
      <c r="E16" s="109"/>
      <c r="F16" s="109"/>
      <c r="G16" s="146">
        <f>'FORMULAIRE A COMPLETER'!G16:H16</f>
        <v>0</v>
      </c>
      <c r="H16" s="147"/>
      <c r="I16" s="98" t="str">
        <f>IF(FORMULAIRE!G16="","û","ü")</f>
        <v>ü</v>
      </c>
      <c r="J16" s="99"/>
    </row>
    <row r="17" spans="2:14" ht="6.75" customHeight="1" thickBot="1">
      <c r="B17" s="100"/>
      <c r="C17" s="100"/>
      <c r="D17" s="100"/>
      <c r="E17" s="100"/>
      <c r="F17" s="100"/>
      <c r="G17" s="100"/>
      <c r="H17" s="100"/>
      <c r="I17" s="98"/>
      <c r="J17" s="99"/>
    </row>
    <row r="18" spans="2:14" ht="21.75" customHeight="1" thickBot="1">
      <c r="B18" s="110"/>
      <c r="C18" s="111" t="s">
        <v>102</v>
      </c>
      <c r="D18" s="112"/>
      <c r="E18" s="112"/>
      <c r="F18" s="112"/>
      <c r="G18" s="146">
        <f>'FORMULAIRE A COMPLETER'!G18:H18</f>
        <v>0</v>
      </c>
      <c r="H18" s="147"/>
      <c r="I18" s="98" t="str">
        <f>IF(FORMULAIRE!G18="","û","ü")</f>
        <v>ü</v>
      </c>
      <c r="J18" s="99"/>
      <c r="K18" s="141" t="s">
        <v>145</v>
      </c>
      <c r="L18" s="141"/>
      <c r="M18" s="141"/>
      <c r="N18" s="141"/>
    </row>
    <row r="19" spans="2:14" ht="21.75" customHeight="1" thickBot="1">
      <c r="B19" s="113"/>
      <c r="C19" s="114"/>
      <c r="D19" s="152" t="s">
        <v>103</v>
      </c>
      <c r="E19" s="152"/>
      <c r="F19" s="153"/>
      <c r="G19" s="146">
        <f>'FORMULAIRE A COMPLETER'!G19:H19</f>
        <v>0</v>
      </c>
      <c r="H19" s="147"/>
      <c r="I19" s="98" t="str">
        <f>IF(FORMULAIRE!G19="","û","ü")</f>
        <v>ü</v>
      </c>
      <c r="J19" s="99"/>
      <c r="K19" s="141"/>
      <c r="L19" s="141"/>
      <c r="M19" s="141"/>
      <c r="N19" s="141"/>
    </row>
    <row r="20" spans="2:14" ht="6.75" customHeight="1" thickBot="1">
      <c r="B20" s="100"/>
      <c r="C20" s="100"/>
      <c r="D20" s="100"/>
      <c r="E20" s="100"/>
      <c r="F20" s="100"/>
      <c r="G20" s="100"/>
      <c r="H20" s="100"/>
      <c r="I20" s="98"/>
      <c r="J20" s="99"/>
      <c r="K20" s="141"/>
      <c r="L20" s="141"/>
      <c r="M20" s="141"/>
      <c r="N20" s="141"/>
    </row>
    <row r="21" spans="2:14" ht="21.75" customHeight="1" thickBot="1">
      <c r="B21" s="164" t="s">
        <v>116</v>
      </c>
      <c r="C21" s="165"/>
      <c r="D21" s="168" t="s">
        <v>117</v>
      </c>
      <c r="E21" s="168"/>
      <c r="F21" s="168"/>
      <c r="G21" s="146" t="e">
        <f>_xlfn.SINGLE('FORMULAIRE A COMPLETER'!#REF!)</f>
        <v>#REF!</v>
      </c>
      <c r="H21" s="147"/>
      <c r="I21" s="98" t="e">
        <f>IF(FORMULAIRE!G21="","û","ü")</f>
        <v>#REF!</v>
      </c>
      <c r="J21" s="99"/>
      <c r="K21" s="141"/>
      <c r="L21" s="141"/>
      <c r="M21" s="141"/>
      <c r="N21" s="141"/>
    </row>
    <row r="22" spans="2:14" ht="21.75" customHeight="1" thickBot="1">
      <c r="B22" s="166"/>
      <c r="C22" s="167"/>
      <c r="D22" s="149" t="s">
        <v>118</v>
      </c>
      <c r="E22" s="149"/>
      <c r="F22" s="149"/>
      <c r="G22" s="146" t="e">
        <f>_xlfn.SINGLE('FORMULAIRE A COMPLETER'!#REF!)</f>
        <v>#REF!</v>
      </c>
      <c r="H22" s="147"/>
      <c r="I22" s="98" t="e">
        <f>IF(FORMULAIRE!G22="","û","ü")</f>
        <v>#REF!</v>
      </c>
      <c r="J22" s="99"/>
      <c r="K22" s="141"/>
      <c r="L22" s="141"/>
      <c r="M22" s="141"/>
      <c r="N22" s="141"/>
    </row>
    <row r="23" spans="2:14" ht="6.75" customHeight="1" thickBot="1">
      <c r="I23" s="98"/>
      <c r="J23" s="99"/>
      <c r="K23" s="141"/>
      <c r="L23" s="141"/>
      <c r="M23" s="141"/>
      <c r="N23" s="141"/>
    </row>
    <row r="24" spans="2:14" ht="21.75" customHeight="1" thickBot="1">
      <c r="B24" s="170" t="s">
        <v>119</v>
      </c>
      <c r="C24" s="171"/>
      <c r="D24" s="168" t="s">
        <v>105</v>
      </c>
      <c r="E24" s="168"/>
      <c r="F24" s="168"/>
      <c r="G24" s="146" t="e">
        <f>_xlfn.SINGLE('FORMULAIRE A COMPLETER'!#REF!)</f>
        <v>#REF!</v>
      </c>
      <c r="H24" s="147"/>
      <c r="I24" s="98" t="e">
        <f>IF(FORMULAIRE!G24="","û","ü")</f>
        <v>#REF!</v>
      </c>
      <c r="J24" s="99"/>
      <c r="K24" s="141"/>
      <c r="L24" s="141"/>
      <c r="M24" s="141"/>
      <c r="N24" s="141"/>
    </row>
    <row r="25" spans="2:14" ht="21.75" customHeight="1" thickBot="1">
      <c r="B25" s="172"/>
      <c r="C25" s="173"/>
      <c r="D25" s="148" t="s">
        <v>107</v>
      </c>
      <c r="E25" s="148"/>
      <c r="F25" s="148"/>
      <c r="G25" s="146" t="e">
        <f>_xlfn.SINGLE('FORMULAIRE A COMPLETER'!#REF!)</f>
        <v>#REF!</v>
      </c>
      <c r="H25" s="147"/>
      <c r="I25" s="98" t="e">
        <f>IF(FORMULAIRE!G25="","û","ü")</f>
        <v>#REF!</v>
      </c>
      <c r="J25" s="99"/>
      <c r="K25" s="141"/>
      <c r="L25" s="141"/>
      <c r="M25" s="141"/>
      <c r="N25" s="141"/>
    </row>
    <row r="26" spans="2:14" ht="21.75" customHeight="1" thickBot="1">
      <c r="B26" s="174"/>
      <c r="C26" s="175"/>
      <c r="D26" s="149" t="s">
        <v>106</v>
      </c>
      <c r="E26" s="149"/>
      <c r="F26" s="149"/>
      <c r="G26" s="146" t="e">
        <f>_xlfn.SINGLE('FORMULAIRE A COMPLETER'!#REF!)</f>
        <v>#REF!</v>
      </c>
      <c r="H26" s="147"/>
      <c r="I26" s="98" t="e">
        <f>IF(FORMULAIRE!G26="","û","ü")</f>
        <v>#REF!</v>
      </c>
      <c r="J26" s="99"/>
      <c r="K26" s="141"/>
      <c r="L26" s="141"/>
      <c r="M26" s="141"/>
      <c r="N26" s="141"/>
    </row>
    <row r="27" spans="2:14" ht="6.75" customHeight="1" thickBot="1">
      <c r="I27" s="98"/>
      <c r="J27" s="99"/>
    </row>
    <row r="28" spans="2:14" ht="21.75" customHeight="1" thickBot="1">
      <c r="B28" s="115"/>
      <c r="C28" s="109" t="s">
        <v>115</v>
      </c>
      <c r="D28" s="109"/>
      <c r="E28" s="109"/>
      <c r="F28" s="109"/>
      <c r="G28" s="177">
        <v>0.3</v>
      </c>
      <c r="H28" s="178"/>
      <c r="I28" s="98" t="str">
        <f>IF(FORMULAIRE!G28="","û","ü")</f>
        <v>ü</v>
      </c>
      <c r="J28" s="99" t="str">
        <f>IF(G28="","rubrique à compléter, lire informations ci-dessous si non connu","")</f>
        <v/>
      </c>
    </row>
    <row r="29" spans="2:14" ht="39.75" customHeight="1">
      <c r="B29" s="101" t="s">
        <v>104</v>
      </c>
      <c r="C29" s="163" t="str">
        <f>AGA!A44</f>
        <v>Pour information, taux marginal d'IR = 0 % pour un revenu de 0 € (NB : pour 1 part et seulement des revenus médicaux… à affiner le cas échéant)</v>
      </c>
      <c r="D29" s="163"/>
      <c r="E29" s="163"/>
      <c r="F29" s="163"/>
      <c r="G29" s="163"/>
      <c r="H29" s="163"/>
      <c r="I29" s="116"/>
      <c r="J29" s="117"/>
    </row>
    <row r="30" spans="2:14" ht="6" customHeight="1"/>
    <row r="31" spans="2:14" ht="21.75" customHeight="1">
      <c r="B31" s="162" t="str">
        <f>IF('CALCUL MEDEC. SECTEUR '!C7=1,"Pour voir quelle option est la plus appropriée, cliquer sur l'onglet ","")</f>
        <v/>
      </c>
      <c r="C31" s="162"/>
      <c r="D31" s="162"/>
      <c r="E31" s="162"/>
      <c r="F31" s="162"/>
      <c r="G31" s="161" t="str">
        <f>IF('CALCUL MEDEC. SECTEUR '!C7=1,"COMPARATIF","")</f>
        <v/>
      </c>
      <c r="H31" s="161"/>
    </row>
    <row r="33" spans="7:8" ht="21.75" customHeight="1">
      <c r="G33" s="154"/>
      <c r="H33" s="154"/>
    </row>
  </sheetData>
  <sheetProtection selectLockedCells="1"/>
  <mergeCells count="31">
    <mergeCell ref="G33:H33"/>
    <mergeCell ref="B8:D8"/>
    <mergeCell ref="E8:H8"/>
    <mergeCell ref="D2:H4"/>
    <mergeCell ref="D1:H1"/>
    <mergeCell ref="G31:H31"/>
    <mergeCell ref="B31:F31"/>
    <mergeCell ref="C29:H29"/>
    <mergeCell ref="B21:C22"/>
    <mergeCell ref="D21:F21"/>
    <mergeCell ref="D22:F22"/>
    <mergeCell ref="B6:H6"/>
    <mergeCell ref="B24:C26"/>
    <mergeCell ref="B12:F12"/>
    <mergeCell ref="G28:H28"/>
    <mergeCell ref="D24:F24"/>
    <mergeCell ref="K18:N26"/>
    <mergeCell ref="B10:D10"/>
    <mergeCell ref="E10:H10"/>
    <mergeCell ref="G16:H16"/>
    <mergeCell ref="G18:H18"/>
    <mergeCell ref="G19:H19"/>
    <mergeCell ref="D25:F25"/>
    <mergeCell ref="D26:F26"/>
    <mergeCell ref="G22:H22"/>
    <mergeCell ref="G12:H12"/>
    <mergeCell ref="G24:H24"/>
    <mergeCell ref="G25:H25"/>
    <mergeCell ref="G26:H26"/>
    <mergeCell ref="D19:F19"/>
    <mergeCell ref="G21:H21"/>
  </mergeCells>
  <conditionalFormatting sqref="G31:H31">
    <cfRule type="notContainsBlanks" dxfId="27" priority="1">
      <formula>LEN(TRIM(G31))&gt;0</formula>
    </cfRule>
  </conditionalFormatting>
  <conditionalFormatting sqref="I10:I14 I16:I28">
    <cfRule type="beginsWith" dxfId="26" priority="2" operator="beginsWith" text="û">
      <formula>LEFT(I10,1)="û"</formula>
    </cfRule>
    <cfRule type="beginsWith" dxfId="25" priority="3" operator="beginsWith" text="ü">
      <formula>LEFT(I10,1)="ü"</formula>
    </cfRule>
  </conditionalFormatting>
  <dataValidations count="2">
    <dataValidation type="list" allowBlank="1" showInputMessage="1" showErrorMessage="1" sqref="E10:H10">
      <formula1>Cat_groupeIII</formula1>
    </dataValidation>
    <dataValidation type="list" allowBlank="1" showInputMessage="1" showErrorMessage="1" sqref="G28:H28">
      <formula1>Taux_IR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I30"/>
  <sheetViews>
    <sheetView showGridLines="0" zoomScaleNormal="100" zoomScaleSheetLayoutView="115" workbookViewId="0">
      <selection activeCell="C29" sqref="C29"/>
    </sheetView>
  </sheetViews>
  <sheetFormatPr baseColWidth="10" defaultRowHeight="14.25"/>
  <cols>
    <col min="1" max="1" width="15.7109375" style="84" customWidth="1"/>
    <col min="2" max="2" width="5.28515625" style="84" customWidth="1"/>
    <col min="3" max="3" width="50.85546875" style="84" customWidth="1"/>
    <col min="4" max="4" width="18.140625" style="84" customWidth="1"/>
    <col min="5" max="5" width="24.140625" style="84" customWidth="1"/>
    <col min="6" max="6" width="1" style="84" customWidth="1"/>
    <col min="7" max="7" width="2.7109375" style="84" customWidth="1"/>
    <col min="8" max="16384" width="11.42578125" style="84"/>
  </cols>
  <sheetData>
    <row r="1" spans="1:9" s="90" customFormat="1" ht="28.5" customHeight="1">
      <c r="A1" s="182" t="str">
        <f>IF(FORMULAIRE_OK=0,"","Dossier de : "&amp;FORMULAIRE!E8)</f>
        <v/>
      </c>
      <c r="B1" s="182"/>
      <c r="C1" s="182"/>
      <c r="D1" s="182"/>
      <c r="E1" s="182"/>
      <c r="F1" s="182"/>
    </row>
    <row r="2" spans="1:9" ht="24.95" customHeight="1"/>
    <row r="3" spans="1:9" ht="45" customHeight="1">
      <c r="A3" s="183" t="str">
        <f>IF(FORMULAIRE_OK=0,"DONNÉES INCOMPLÈTES, merci de compléter intégralement le FORMULAIRE","DÉTAIL DES ABATTEMENTS FISCAUX")</f>
        <v>DONNÉES INCOMPLÈTES, merci de compléter intégralement le FORMULAIRE</v>
      </c>
      <c r="B3" s="183"/>
      <c r="C3" s="183"/>
      <c r="D3" s="183"/>
      <c r="E3" s="183"/>
      <c r="F3" s="183"/>
    </row>
    <row r="4" spans="1:9" ht="24.95" customHeight="1">
      <c r="I4" s="84" t="s">
        <v>151</v>
      </c>
    </row>
    <row r="5" spans="1:9" s="89" customFormat="1" ht="20.100000000000001" customHeight="1">
      <c r="C5" s="142" t="str">
        <f>IF(FORMULAIRE_OK=0,"","- Déduction forfaitaire 2% :")</f>
        <v/>
      </c>
      <c r="D5" s="142"/>
      <c r="E5" s="123"/>
      <c r="I5" s="133"/>
    </row>
    <row r="6" spans="1:9" s="89" customFormat="1" ht="20.100000000000001" customHeight="1">
      <c r="B6" s="89" t="str">
        <f t="shared" ref="B6" si="0">IF(FORMULAIRE_OK=0,""," ")</f>
        <v/>
      </c>
      <c r="C6" s="103" t="str">
        <f>IF(FORMULAIRE_OK=0,"","   "&amp;'FORMULAIRE A COMPLETER'!C16)</f>
        <v/>
      </c>
      <c r="D6" s="130" t="str">
        <f>IF(FORMULAIRE_OK=0,"",'FORMULAIRE A COMPLETER'!G16)</f>
        <v/>
      </c>
      <c r="E6" s="129" t="e">
        <f>IF(#REF!="","",1)</f>
        <v>#REF!</v>
      </c>
      <c r="F6" s="89" t="str">
        <f t="shared" ref="F6" si="1">IF(FORMULAIRE_OK=0,"",1)</f>
        <v/>
      </c>
    </row>
    <row r="7" spans="1:9" s="89" customFormat="1" ht="20.100000000000001" customHeight="1">
      <c r="C7" s="103" t="str">
        <f>IF(FORMULAIRE_OK=0,"","+ "&amp;'FORMULAIRE A COMPLETER'!C18)</f>
        <v/>
      </c>
      <c r="D7" s="130" t="str">
        <f>IF(FORMULAIRE_OK=0,"",'FORMULAIRE A COMPLETER'!G18)</f>
        <v/>
      </c>
      <c r="E7" s="129"/>
    </row>
    <row r="8" spans="1:9" s="89" customFormat="1" ht="24" customHeight="1">
      <c r="C8" s="128" t="str">
        <f>IF(FORMULAIRE_OK=0,"","= ASSIETTE DE CALCUL 2% (1)")</f>
        <v/>
      </c>
      <c r="D8" s="131" t="str">
        <f>IF(FORMULAIRE_OK=0,"",D6+D7)</f>
        <v/>
      </c>
      <c r="E8" s="129"/>
    </row>
    <row r="9" spans="1:9" ht="21" customHeight="1">
      <c r="C9" s="132" t="str">
        <f>IF(FORMULAIRE_OK=0,"","Soit déduction forfaitaire : "&amp;D8&amp;" x 2% =")</f>
        <v/>
      </c>
      <c r="D9" s="131" t="str">
        <f>IF(FORMULAIRE_OK=0,"",ROUND(D8*0.02,0))</f>
        <v/>
      </c>
      <c r="E9" s="124"/>
    </row>
    <row r="10" spans="1:9" ht="47.25" customHeight="1">
      <c r="C10" s="209" t="str">
        <f>IF(FORMULAIRE_OK=0,"","(1) La déduction de 2 % s’applique sur l’intégralité des recettes, c’est-à-dire les recettes brutes majorées des autres recettes professionnelles, à l’exception des plus-values")</f>
        <v/>
      </c>
      <c r="D10" s="209"/>
      <c r="E10" s="124"/>
    </row>
    <row r="11" spans="1:9" ht="18.75" customHeight="1">
      <c r="C11" s="136" t="str">
        <f>IF(FORMULAIRE_OK=0,"","§ 120 du BOI-BNC-SECT-40")</f>
        <v/>
      </c>
      <c r="D11" s="135"/>
      <c r="E11" s="124"/>
    </row>
    <row r="12" spans="1:9" ht="17.25" customHeight="1">
      <c r="D12" s="124"/>
      <c r="E12" s="124"/>
    </row>
    <row r="13" spans="1:9" ht="20.100000000000001" customHeight="1">
      <c r="C13" s="210" t="str">
        <f>IF(FORMULAIRE_OK=0,"","- Abattement 3% :")</f>
        <v/>
      </c>
      <c r="D13" s="210"/>
      <c r="E13" s="124"/>
    </row>
    <row r="14" spans="1:9" s="89" customFormat="1" ht="20.100000000000001" customHeight="1">
      <c r="C14" s="103" t="str">
        <f>IF(FORMULAIRE_OK=0,"","   "&amp;'FORMULAIRE A COMPLETER'!C16)</f>
        <v/>
      </c>
      <c r="D14" s="131" t="str">
        <f>IF(FORMULAIRE_OK=0,"",'FORMULAIRE A COMPLETER'!G16)</f>
        <v/>
      </c>
      <c r="E14" s="129"/>
    </row>
    <row r="15" spans="1:9" s="89" customFormat="1" ht="20.100000000000001" customHeight="1">
      <c r="C15" s="103" t="str">
        <f>IF(FORMULAIRE_OK=0,"","+ Rémunérations CPAM indiquées en Gains Divers :")</f>
        <v/>
      </c>
      <c r="D15" s="131" t="str">
        <f>IF(FORMULAIRE_OK=0,"",'FORMULAIRE A COMPLETER'!G19)</f>
        <v/>
      </c>
      <c r="E15" s="129"/>
    </row>
    <row r="16" spans="1:9" s="89" customFormat="1" ht="20.100000000000001" customHeight="1">
      <c r="C16" s="128" t="str">
        <f>IF(FORMULAIRE_OK=0,"","= ASSIETTE DE CALCUL 3% (2)")</f>
        <v/>
      </c>
      <c r="D16" s="131" t="str">
        <f>IF(FORMULAIRE_OK=0,"",D14+D15)</f>
        <v/>
      </c>
      <c r="E16" s="129"/>
    </row>
    <row r="17" spans="3:5" ht="20.100000000000001" customHeight="1">
      <c r="C17" s="132" t="str">
        <f>IF(FORMULAIRE_OK=0,"","Soit déduction forfaitaire : "&amp;D16&amp;" x 3% =")</f>
        <v/>
      </c>
      <c r="D17" s="131" t="str">
        <f>IF(FORMULAIRE_OK=0,"",ROUND(D16*0.03,0))</f>
        <v/>
      </c>
      <c r="E17" s="124"/>
    </row>
    <row r="18" spans="3:5" s="89" customFormat="1" ht="20.25" customHeight="1">
      <c r="C18" s="209" t="str">
        <f>IF(FORMULAIRE_OK=0,"","(2) L'abattement de 3 % s’applique sur les seuls honoraires conventionnels")</f>
        <v/>
      </c>
      <c r="D18" s="209"/>
      <c r="E18" s="129"/>
    </row>
    <row r="19" spans="3:5" ht="21.75" customHeight="1">
      <c r="C19" s="136" t="str">
        <f>IF(FORMULAIRE_OK=0,"","§ 180 du BOI-BNC-SECT-40")</f>
        <v/>
      </c>
      <c r="D19" s="137"/>
      <c r="E19" s="124"/>
    </row>
    <row r="20" spans="3:5" ht="18" customHeight="1">
      <c r="D20" s="124"/>
      <c r="E20" s="124"/>
    </row>
    <row r="21" spans="3:5" ht="20.100000000000001" customHeight="1">
      <c r="C21" s="126" t="str">
        <f>IF(FORMULAIRE_OK=0,"","- Abattement Groupe III (3) :")</f>
        <v/>
      </c>
      <c r="D21" s="131" t="str">
        <f>IF(FORMULAIRE_OK=0,"",-COMPARATIF!E11)</f>
        <v/>
      </c>
      <c r="E21" s="124"/>
    </row>
    <row r="22" spans="3:5" ht="20.100000000000001" customHeight="1">
      <c r="C22" s="208" t="str">
        <f>IF(FORMULAIRE_OK=0,"","(3) Déduction pour un médecin réalisant un CA de "&amp;D16&amp; " € relevant de la catégorie des "&amp;'FORMULAIRE A COMPLETER'!E10&amp;"")</f>
        <v/>
      </c>
      <c r="D22" s="208"/>
      <c r="E22" s="127"/>
    </row>
    <row r="23" spans="3:5" ht="16.5" customHeight="1">
      <c r="C23" s="208"/>
      <c r="D23" s="208"/>
      <c r="E23" s="124"/>
    </row>
    <row r="24" spans="3:5" ht="16.5" customHeight="1">
      <c r="C24" s="136" t="str">
        <f>IF(FORMULAIRE_OK=0,"","§ 180 du BOI-BNC-SECT-40 et BOI-BAREME-000025")</f>
        <v/>
      </c>
      <c r="D24" s="138"/>
      <c r="E24" s="124"/>
    </row>
    <row r="25" spans="3:5" ht="18" customHeight="1">
      <c r="C25" s="134"/>
      <c r="D25" s="134"/>
      <c r="E25" s="124"/>
    </row>
    <row r="26" spans="3:5" ht="34.5" customHeight="1">
      <c r="C26" s="87" t="str">
        <f>IF(FORMULAIRE_OK=0,"","TOTAL DES ABATTEMENTS :")</f>
        <v/>
      </c>
      <c r="D26" s="118" t="str">
        <f>IF(FORMULAIRE_OK=0,"",D9+D17+D21)</f>
        <v/>
      </c>
      <c r="E26" s="124"/>
    </row>
    <row r="27" spans="3:5" ht="20.100000000000001" customHeight="1">
      <c r="C27" s="134"/>
      <c r="D27" s="134"/>
      <c r="E27" s="124"/>
    </row>
    <row r="28" spans="3:5" ht="20.100000000000001" customHeight="1">
      <c r="C28" s="134" t="str">
        <f>IF(FORMULAIRE_OK=0,"","SOURCES :")</f>
        <v/>
      </c>
      <c r="D28" s="134"/>
      <c r="E28" s="124"/>
    </row>
    <row r="29" spans="3:5" ht="20.100000000000001" customHeight="1">
      <c r="C29" s="139" t="str">
        <f>IF(FORMULAIRE_OK=0,"","BOI-BNC-SECT-40")</f>
        <v/>
      </c>
      <c r="D29" s="134"/>
      <c r="E29" s="124"/>
    </row>
    <row r="30" spans="3:5" ht="20.100000000000001" customHeight="1">
      <c r="C30" s="139" t="str">
        <f>IF(FORMULAIRE_OK=0,"","BOI-BAREME-000025")</f>
        <v/>
      </c>
      <c r="D30" s="134"/>
      <c r="E30" s="124"/>
    </row>
  </sheetData>
  <sheetProtection sheet="1" objects="1" scenarios="1" selectLockedCells="1"/>
  <mergeCells count="7">
    <mergeCell ref="C22:D23"/>
    <mergeCell ref="C10:D10"/>
    <mergeCell ref="C18:D18"/>
    <mergeCell ref="A1:F1"/>
    <mergeCell ref="A3:F3"/>
    <mergeCell ref="C5:D5"/>
    <mergeCell ref="C13:D13"/>
  </mergeCells>
  <conditionalFormatting sqref="A1:B1 A3:F3">
    <cfRule type="notContainsBlanks" dxfId="9" priority="38">
      <formula>LEN(TRIM(A1))&gt;0</formula>
    </cfRule>
  </conditionalFormatting>
  <conditionalFormatting sqref="C13">
    <cfRule type="notContainsBlanks" dxfId="8" priority="17">
      <formula>LEN(TRIM(C13))&gt;0</formula>
    </cfRule>
  </conditionalFormatting>
  <conditionalFormatting sqref="C26">
    <cfRule type="notContainsBlanks" dxfId="7" priority="2">
      <formula>LEN(TRIM(C26))&gt;0</formula>
    </cfRule>
  </conditionalFormatting>
  <conditionalFormatting sqref="C5:D5">
    <cfRule type="notContainsBlanks" dxfId="6" priority="6">
      <formula>LEN(TRIM(C5))&gt;0</formula>
    </cfRule>
  </conditionalFormatting>
  <conditionalFormatting sqref="C9:D9">
    <cfRule type="notContainsBlanks" dxfId="5" priority="7">
      <formula>LEN(TRIM(C9))&gt;0</formula>
    </cfRule>
    <cfRule type="notContainsBlanks" dxfId="4" priority="8">
      <formula>LEN(TRIM(C9))&gt;0</formula>
    </cfRule>
  </conditionalFormatting>
  <conditionalFormatting sqref="C17:D17">
    <cfRule type="notContainsBlanks" dxfId="3" priority="4">
      <formula>LEN(TRIM(C17))&gt;0</formula>
    </cfRule>
    <cfRule type="notContainsBlanks" dxfId="2" priority="5">
      <formula>LEN(TRIM(C17))&gt;0</formula>
    </cfRule>
  </conditionalFormatting>
  <conditionalFormatting sqref="C21:D21">
    <cfRule type="notContainsBlanks" dxfId="1" priority="3">
      <formula>LEN(TRIM(C21))&gt;0</formula>
    </cfRule>
  </conditionalFormatting>
  <conditionalFormatting sqref="D26">
    <cfRule type="notContainsBlanks" dxfId="0" priority="1">
      <formula>LEN(TRIM(D26))&gt;0</formula>
    </cfRule>
  </conditionalFormatting>
  <hyperlinks>
    <hyperlink ref="C29" r:id="rId1" location="Medecins_conventionnes_soum_11" display="https://bofip.impots.gouv.fr/bofip/5962-PGP.html/identifiant=BOI-BNC-SECT-40-20210512 - Medecins_conventionnes_soum_11"/>
    <hyperlink ref="C30" r:id="rId2" display="https://bofip.impots.gouv.fr/bofip/6572-PGP.html/identifiant=BOI-BAREME-000025-20150805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7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N27"/>
  <sheetViews>
    <sheetView showGridLines="0" tabSelected="1" zoomScaleNormal="100" workbookViewId="0">
      <selection activeCell="E8" sqref="E8:H8"/>
    </sheetView>
  </sheetViews>
  <sheetFormatPr baseColWidth="10" defaultRowHeight="21.75" customHeight="1"/>
  <cols>
    <col min="1" max="1" width="12" style="89" customWidth="1"/>
    <col min="2" max="8" width="15.7109375" style="89" customWidth="1"/>
    <col min="9" max="9" width="11.42578125" style="96"/>
    <col min="10" max="16384" width="11.42578125" style="89"/>
  </cols>
  <sheetData>
    <row r="1" spans="2:10" ht="21.75" customHeight="1">
      <c r="D1" s="160" t="s">
        <v>130</v>
      </c>
      <c r="E1" s="160"/>
      <c r="F1" s="160"/>
      <c r="G1" s="160"/>
      <c r="H1" s="160"/>
      <c r="I1" s="94"/>
    </row>
    <row r="2" spans="2:10" ht="21.75" customHeight="1">
      <c r="D2" s="159" t="s">
        <v>150</v>
      </c>
      <c r="E2" s="159"/>
      <c r="F2" s="159"/>
      <c r="G2" s="159"/>
      <c r="H2" s="159"/>
      <c r="I2" s="95"/>
    </row>
    <row r="3" spans="2:10" ht="21.75" customHeight="1">
      <c r="D3" s="159"/>
      <c r="E3" s="159"/>
      <c r="F3" s="159"/>
      <c r="G3" s="159"/>
      <c r="H3" s="159"/>
      <c r="I3" s="95"/>
    </row>
    <row r="4" spans="2:10" ht="21.75" customHeight="1">
      <c r="D4" s="159"/>
      <c r="E4" s="159"/>
      <c r="F4" s="159"/>
      <c r="G4" s="159"/>
      <c r="H4" s="159"/>
      <c r="I4" s="95"/>
    </row>
    <row r="5" spans="2:10" ht="9.75" customHeight="1"/>
    <row r="6" spans="2:10" ht="21.75" customHeight="1">
      <c r="B6" s="169" t="s">
        <v>149</v>
      </c>
      <c r="C6" s="169"/>
      <c r="D6" s="169"/>
      <c r="E6" s="169"/>
      <c r="F6" s="169"/>
      <c r="G6" s="169"/>
      <c r="H6" s="169"/>
    </row>
    <row r="7" spans="2:10" ht="10.5" customHeight="1" thickBot="1">
      <c r="B7" s="97"/>
      <c r="C7" s="97"/>
      <c r="D7" s="97"/>
      <c r="E7" s="97"/>
      <c r="F7" s="97"/>
      <c r="G7" s="97"/>
      <c r="H7" s="97"/>
    </row>
    <row r="8" spans="2:10" ht="21.75" customHeight="1" thickBot="1">
      <c r="B8" s="155" t="s">
        <v>120</v>
      </c>
      <c r="C8" s="155"/>
      <c r="D8" s="155"/>
      <c r="E8" s="156"/>
      <c r="F8" s="157"/>
      <c r="G8" s="157"/>
      <c r="H8" s="158"/>
    </row>
    <row r="9" spans="2:10" ht="21.75" customHeight="1" thickBot="1"/>
    <row r="10" spans="2:10" ht="21.75" customHeight="1" thickBot="1">
      <c r="B10" s="142" t="s">
        <v>121</v>
      </c>
      <c r="C10" s="142"/>
      <c r="D10" s="142"/>
      <c r="E10" s="143"/>
      <c r="F10" s="144"/>
      <c r="G10" s="144"/>
      <c r="H10" s="145"/>
      <c r="I10" s="98" t="str">
        <f>IF(E10="","û","ü")</f>
        <v>û</v>
      </c>
      <c r="J10" s="99" t="str">
        <f>IF(E10="","rubrique à compléter, utiliser le menu déroulant","")</f>
        <v>rubrique à compléter, utiliser le menu déroulant</v>
      </c>
    </row>
    <row r="11" spans="2:10" ht="6.75" customHeight="1" thickBot="1">
      <c r="B11" s="100"/>
      <c r="C11" s="100"/>
      <c r="D11" s="100"/>
      <c r="E11" s="100"/>
      <c r="F11" s="100"/>
      <c r="G11" s="100"/>
      <c r="H11" s="100"/>
      <c r="I11" s="98"/>
      <c r="J11" s="99"/>
    </row>
    <row r="12" spans="2:10" ht="21.75" customHeight="1" thickBot="1">
      <c r="B12" s="142" t="s">
        <v>137</v>
      </c>
      <c r="C12" s="142"/>
      <c r="D12" s="142"/>
      <c r="E12" s="142"/>
      <c r="F12" s="176"/>
      <c r="G12" s="150"/>
      <c r="H12" s="151"/>
      <c r="I12" s="98" t="str">
        <f>IF('FORMULAIRE A COMPLETER'!G12="","û","ü")</f>
        <v>û</v>
      </c>
      <c r="J12" s="99" t="str">
        <f>IF(G12="","rubrique à compléter","")</f>
        <v>rubrique à compléter</v>
      </c>
    </row>
    <row r="13" spans="2:10" ht="21.75" customHeight="1">
      <c r="B13" s="101" t="s">
        <v>104</v>
      </c>
      <c r="C13" s="179" t="s">
        <v>147</v>
      </c>
      <c r="D13" s="179"/>
      <c r="E13" s="179"/>
      <c r="F13" s="179"/>
      <c r="G13" s="179"/>
      <c r="H13" s="179"/>
      <c r="J13" s="99"/>
    </row>
    <row r="14" spans="2:10" ht="13.5" customHeight="1" thickBot="1">
      <c r="B14" s="104"/>
      <c r="C14" s="105"/>
      <c r="D14" s="106"/>
      <c r="E14" s="105"/>
      <c r="F14" s="105"/>
      <c r="G14" s="105"/>
      <c r="H14" s="105"/>
      <c r="J14" s="99"/>
    </row>
    <row r="15" spans="2:10" ht="17.25" customHeight="1" thickTop="1" thickBot="1">
      <c r="B15" s="100"/>
      <c r="C15" s="100"/>
      <c r="D15" s="100"/>
      <c r="E15" s="100"/>
      <c r="F15" s="100"/>
      <c r="G15" s="100"/>
      <c r="H15" s="100"/>
      <c r="J15" s="99"/>
    </row>
    <row r="16" spans="2:10" ht="21.75" customHeight="1" thickBot="1">
      <c r="B16" s="107"/>
      <c r="C16" s="108" t="s">
        <v>101</v>
      </c>
      <c r="D16" s="109"/>
      <c r="E16" s="109"/>
      <c r="F16" s="109"/>
      <c r="G16" s="146"/>
      <c r="H16" s="147"/>
      <c r="I16" s="98" t="str">
        <f>IF('FORMULAIRE A COMPLETER'!G16="","û","ü")</f>
        <v>û</v>
      </c>
      <c r="J16" s="99"/>
    </row>
    <row r="17" spans="2:14" ht="6.75" customHeight="1" thickBot="1">
      <c r="B17" s="100"/>
      <c r="C17" s="100"/>
      <c r="D17" s="100"/>
      <c r="E17" s="100"/>
      <c r="F17" s="100"/>
      <c r="G17" s="100"/>
      <c r="H17" s="100"/>
      <c r="I17" s="98"/>
      <c r="J17" s="99"/>
    </row>
    <row r="18" spans="2:14" ht="21.75" customHeight="1" thickBot="1">
      <c r="B18" s="110"/>
      <c r="C18" s="111" t="s">
        <v>102</v>
      </c>
      <c r="D18" s="112"/>
      <c r="E18" s="112"/>
      <c r="F18" s="112"/>
      <c r="G18" s="146">
        <v>0</v>
      </c>
      <c r="H18" s="147"/>
      <c r="I18" s="98" t="str">
        <f>IF('FORMULAIRE A COMPLETER'!G18="","û","ü")</f>
        <v>ü</v>
      </c>
      <c r="J18" s="99"/>
      <c r="K18" s="141" t="s">
        <v>152</v>
      </c>
      <c r="L18" s="141"/>
      <c r="M18" s="141"/>
      <c r="N18" s="141"/>
    </row>
    <row r="19" spans="2:14" ht="21.75" customHeight="1" thickBot="1">
      <c r="B19" s="113"/>
      <c r="C19" s="114"/>
      <c r="D19" s="152" t="s">
        <v>103</v>
      </c>
      <c r="E19" s="152"/>
      <c r="F19" s="153"/>
      <c r="G19" s="146">
        <v>0</v>
      </c>
      <c r="H19" s="147"/>
      <c r="I19" s="98" t="str">
        <f>IF('FORMULAIRE A COMPLETER'!G19="","û","ü")</f>
        <v>ü</v>
      </c>
      <c r="J19" s="99"/>
      <c r="K19" s="141"/>
      <c r="L19" s="141"/>
      <c r="M19" s="141"/>
      <c r="N19" s="141"/>
    </row>
    <row r="20" spans="2:14" ht="6.75" customHeight="1">
      <c r="B20" s="100"/>
      <c r="C20" s="100"/>
      <c r="D20" s="100"/>
      <c r="E20" s="100"/>
      <c r="F20" s="100"/>
      <c r="G20" s="100"/>
      <c r="H20" s="100"/>
      <c r="I20" s="98"/>
      <c r="J20" s="99"/>
      <c r="K20" s="140"/>
      <c r="L20" s="140"/>
      <c r="M20" s="140"/>
      <c r="N20" s="140"/>
    </row>
    <row r="21" spans="2:14" ht="6.75" customHeight="1" thickBot="1">
      <c r="I21" s="98"/>
      <c r="J21" s="99"/>
    </row>
    <row r="22" spans="2:14" ht="21.75" customHeight="1" thickBot="1">
      <c r="B22" s="115"/>
      <c r="C22" s="109" t="s">
        <v>115</v>
      </c>
      <c r="D22" s="109"/>
      <c r="E22" s="109"/>
      <c r="F22" s="109"/>
      <c r="G22" s="177"/>
      <c r="H22" s="178"/>
      <c r="I22" s="98" t="str">
        <f>IF('FORMULAIRE A COMPLETER'!G22="","û","ü")</f>
        <v>û</v>
      </c>
      <c r="J22" s="99" t="str">
        <f>IF(G22="","rubrique à compléter, lire informations ci-dessous si non connu","")</f>
        <v>rubrique à compléter, lire informations ci-dessous si non connu</v>
      </c>
    </row>
    <row r="23" spans="2:14" ht="39.75" customHeight="1">
      <c r="B23" s="101" t="s">
        <v>104</v>
      </c>
      <c r="C23" s="163" t="str">
        <f>AGA!A44</f>
        <v>Pour information, taux marginal d'IR = 0 % pour un revenu de 0 € (NB : pour 1 part et seulement des revenus médicaux… à affiner le cas échéant)</v>
      </c>
      <c r="D23" s="163"/>
      <c r="E23" s="163"/>
      <c r="F23" s="163"/>
      <c r="G23" s="163"/>
      <c r="H23" s="163"/>
      <c r="I23" s="116"/>
      <c r="J23" s="117"/>
    </row>
    <row r="24" spans="2:14" ht="6" customHeight="1"/>
    <row r="25" spans="2:14" ht="21.75" customHeight="1">
      <c r="B25" s="162" t="str">
        <f>IF('CALCUL MEDEC. SECTEUR '!C7=1,"Pour voir quelle option est la plus appropriée, cliquer sur l'onglet ","")</f>
        <v/>
      </c>
      <c r="C25" s="162"/>
      <c r="D25" s="162"/>
      <c r="E25" s="162"/>
      <c r="F25" s="162"/>
      <c r="G25" s="161" t="str">
        <f>IF('CALCUL MEDEC. SECTEUR '!C7=1,"COMPARATIF","")</f>
        <v/>
      </c>
      <c r="H25" s="161"/>
    </row>
    <row r="27" spans="2:14" ht="21.75" customHeight="1">
      <c r="G27" s="180"/>
      <c r="H27" s="180"/>
    </row>
  </sheetData>
  <sheetProtection sheet="1" objects="1" scenarios="1" selectLockedCells="1"/>
  <mergeCells count="20">
    <mergeCell ref="K18:N19"/>
    <mergeCell ref="G27:H27"/>
    <mergeCell ref="G22:H22"/>
    <mergeCell ref="C23:H23"/>
    <mergeCell ref="B25:F25"/>
    <mergeCell ref="G25:H25"/>
    <mergeCell ref="G16:H16"/>
    <mergeCell ref="G18:H18"/>
    <mergeCell ref="D19:F19"/>
    <mergeCell ref="G19:H19"/>
    <mergeCell ref="B10:D10"/>
    <mergeCell ref="E10:H10"/>
    <mergeCell ref="C13:H13"/>
    <mergeCell ref="B12:F12"/>
    <mergeCell ref="G12:H12"/>
    <mergeCell ref="D1:H1"/>
    <mergeCell ref="D2:H4"/>
    <mergeCell ref="B6:H6"/>
    <mergeCell ref="B8:D8"/>
    <mergeCell ref="E8:H8"/>
  </mergeCells>
  <conditionalFormatting sqref="G25:H25">
    <cfRule type="notContainsBlanks" dxfId="24" priority="1">
      <formula>LEN(TRIM(G25))&gt;0</formula>
    </cfRule>
  </conditionalFormatting>
  <conditionalFormatting sqref="I10:I14 I16:I22">
    <cfRule type="beginsWith" dxfId="23" priority="2" operator="beginsWith" text="û">
      <formula>LEFT(I10,1)="û"</formula>
    </cfRule>
    <cfRule type="beginsWith" dxfId="22" priority="3" operator="beginsWith" text="ü">
      <formula>LEFT(I10,1)="ü"</formula>
    </cfRule>
  </conditionalFormatting>
  <dataValidations count="2">
    <dataValidation type="list" allowBlank="1" showInputMessage="1" showErrorMessage="1" sqref="G22:H22">
      <formula1>Taux_IR</formula1>
    </dataValidation>
    <dataValidation type="list" allowBlank="1" showInputMessage="1" showErrorMessage="1" sqref="E10:H10">
      <formula1>Cat_groupeIII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showGridLines="0" zoomScaleNormal="100" zoomScaleSheetLayoutView="115" workbookViewId="0">
      <selection sqref="A1:F1"/>
    </sheetView>
  </sheetViews>
  <sheetFormatPr baseColWidth="10" defaultRowHeight="14.25"/>
  <cols>
    <col min="1" max="1" width="15.7109375" style="84" customWidth="1"/>
    <col min="2" max="2" width="1.28515625" style="84" customWidth="1"/>
    <col min="3" max="3" width="52" style="84" customWidth="1"/>
    <col min="4" max="5" width="30.7109375" style="84" customWidth="1"/>
    <col min="6" max="6" width="1" style="84" customWidth="1"/>
    <col min="7" max="7" width="2.7109375" style="84" customWidth="1"/>
    <col min="8" max="16384" width="11.42578125" style="84"/>
  </cols>
  <sheetData>
    <row r="1" spans="1:6" s="90" customFormat="1" ht="28.5" customHeight="1">
      <c r="A1" s="182" t="str">
        <f>IF(FORMULAIRE_OK=0,"","Dossier de : "&amp;FORMULAIRE!E8)</f>
        <v/>
      </c>
      <c r="B1" s="182"/>
      <c r="C1" s="182"/>
      <c r="D1" s="182"/>
      <c r="E1" s="182"/>
      <c r="F1" s="182"/>
    </row>
    <row r="2" spans="1:6" ht="24.95" customHeight="1"/>
    <row r="3" spans="1:6" ht="45" customHeight="1">
      <c r="A3" s="183" t="str">
        <f>IF(FORMULAIRE_OK=0,"DONNÉES INCOMPLÈTES, merci de compléter intégralement le FORMULAIRE",FORMULAIRE!D1&amp;FORMULAIRE!D2)</f>
        <v>DONNÉES INCOMPLÈTES, merci de compléter intégralement le FORMULAIRE</v>
      </c>
      <c r="B3" s="183"/>
      <c r="C3" s="183"/>
      <c r="D3" s="183"/>
      <c r="E3" s="183"/>
      <c r="F3" s="183"/>
    </row>
    <row r="4" spans="1:6" ht="24.95" customHeight="1"/>
    <row r="5" spans="1:6" ht="15" customHeight="1"/>
    <row r="6" spans="1:6" ht="37.5" customHeight="1">
      <c r="A6" s="122"/>
      <c r="B6" s="122" t="str">
        <f t="shared" ref="B6:B16" si="0">IF(FORMULAIRE_OK=0,""," ")</f>
        <v/>
      </c>
      <c r="C6" s="121" t="str">
        <f>IF(FORMULAIRE_OK=0,"","IMPACTS IMPÔT SUR LE REVENU")</f>
        <v/>
      </c>
      <c r="D6" s="93" t="str">
        <f>IF(FORMULAIRE_OK=0,"","DÉDUCTION FORFAIT 2% UNIQUEMENT")</f>
        <v/>
      </c>
      <c r="E6" s="93" t="str">
        <f>IF(FORMULAIRE_OK=0,"","CUMUL DES ABATTEMENTS")</f>
        <v/>
      </c>
      <c r="F6" s="84" t="str">
        <f t="shared" ref="F6:F16" si="1">IF(FORMULAIRE_OK=0,"",1)</f>
        <v/>
      </c>
    </row>
    <row r="7" spans="1:6" ht="15" customHeight="1">
      <c r="A7" s="91"/>
      <c r="B7" s="91" t="str">
        <f t="shared" si="0"/>
        <v/>
      </c>
      <c r="D7" s="93"/>
      <c r="E7" s="93"/>
      <c r="F7" s="84" t="str">
        <f t="shared" si="1"/>
        <v/>
      </c>
    </row>
    <row r="8" spans="1:6" ht="15" customHeight="1">
      <c r="A8" s="91"/>
      <c r="B8" s="91" t="str">
        <f t="shared" si="0"/>
        <v/>
      </c>
      <c r="C8" s="88" t="str">
        <f>IF(FORMULAIRE_OK=0,"",tableau!A30)</f>
        <v/>
      </c>
      <c r="D8" s="120" t="str">
        <f>IF(FORMULAIRE_OK=0,"",tableau!B30)</f>
        <v/>
      </c>
      <c r="E8" s="120" t="str">
        <f>IF(FORMULAIRE_OK=0,"",D8)</f>
        <v/>
      </c>
      <c r="F8" s="84" t="str">
        <f t="shared" si="1"/>
        <v/>
      </c>
    </row>
    <row r="9" spans="1:6" ht="15" customHeight="1">
      <c r="A9" s="91"/>
      <c r="B9" s="91" t="str">
        <f t="shared" si="0"/>
        <v/>
      </c>
      <c r="C9" s="119" t="str">
        <f>IF(FORMULAIRE_OK=0,"",tableau!A31&amp;" : "&amp;FIXED(FORMULAIRE!G16+FORMULAIRE!G18,0)&amp;" € x 2 % = ")</f>
        <v/>
      </c>
      <c r="D9" s="120" t="str">
        <f>IF(FORMULAIRE_OK=0,"",tableau!B31)</f>
        <v/>
      </c>
      <c r="E9" s="120" t="str">
        <f>IF(FORMULAIRE_OK=0,"",tableau!C31)</f>
        <v/>
      </c>
      <c r="F9" s="84" t="str">
        <f t="shared" si="1"/>
        <v/>
      </c>
    </row>
    <row r="10" spans="1:6" ht="15" customHeight="1">
      <c r="B10" s="84" t="str">
        <f t="shared" si="0"/>
        <v/>
      </c>
      <c r="C10" s="119" t="str">
        <f>IF(FORMULAIRE_OK=0,"",tableau!A32&amp;" : "&amp;FIXED(FORMULAIRE!G16+FORMULAIRE!G19,0)&amp;" € x 3 % = ")</f>
        <v/>
      </c>
      <c r="D10" s="120"/>
      <c r="E10" s="120" t="str">
        <f>IF(FORMULAIRE_OK=0,"",tableau!C32)</f>
        <v/>
      </c>
      <c r="F10" s="84" t="str">
        <f t="shared" si="1"/>
        <v/>
      </c>
    </row>
    <row r="11" spans="1:6">
      <c r="B11" s="84" t="str">
        <f t="shared" si="0"/>
        <v/>
      </c>
      <c r="C11" s="119" t="str">
        <f>IF(FORMULAIRE_OK=0,"",tableau!A33)</f>
        <v/>
      </c>
      <c r="D11" s="120"/>
      <c r="E11" s="120" t="str">
        <f>IF(FORMULAIRE_OK=0,"",tableau!C33)</f>
        <v/>
      </c>
      <c r="F11" s="84" t="str">
        <f t="shared" si="1"/>
        <v/>
      </c>
    </row>
    <row r="12" spans="1:6" ht="9.75" customHeight="1">
      <c r="B12" s="84" t="str">
        <f t="shared" si="0"/>
        <v/>
      </c>
      <c r="D12" s="93"/>
      <c r="E12" s="93"/>
      <c r="F12" s="84" t="str">
        <f t="shared" si="1"/>
        <v/>
      </c>
    </row>
    <row r="13" spans="1:6" ht="21" customHeight="1">
      <c r="B13" s="84" t="str">
        <f t="shared" si="0"/>
        <v/>
      </c>
      <c r="C13" s="90" t="str">
        <f>IF(FORMULAIRE_OK=0,"","Base de calcul de l'IR")</f>
        <v/>
      </c>
      <c r="D13" s="92" t="str">
        <f>IF(FORMULAIRE_OK=0,"",ROUND('CALCUL MEDEC. SECTEUR '!F31,0))</f>
        <v/>
      </c>
      <c r="E13" s="92" t="str">
        <f>IF(FORMULAIRE_OK=0,"",SUM(E8:E11))</f>
        <v/>
      </c>
      <c r="F13" s="84" t="str">
        <f t="shared" si="1"/>
        <v/>
      </c>
    </row>
    <row r="14" spans="1:6" ht="17.25" customHeight="1">
      <c r="B14" s="84" t="str">
        <f t="shared" si="0"/>
        <v/>
      </c>
      <c r="C14" s="85"/>
      <c r="D14" s="85"/>
      <c r="E14" s="85"/>
      <c r="F14" s="84" t="str">
        <f t="shared" si="1"/>
        <v/>
      </c>
    </row>
    <row r="15" spans="1:6" ht="66" customHeight="1">
      <c r="B15" s="84" t="str">
        <f>IF(FORMULAIRE_OK=0,"",1)</f>
        <v/>
      </c>
      <c r="C15" s="184" t="str">
        <f>IF(FORMULAIRE_OK=0,"","ÉCONOMIE D'IR SUITE AU CUMUL DES ABATTEMENTS ET COMPTE TENU D'UN TAUX MARGINAL IR DE "&amp;'FORMULAIRE A COMPLETER'!G22*100&amp;" % :")</f>
        <v/>
      </c>
      <c r="D15" s="184"/>
      <c r="E15" s="125" t="str">
        <f>IF(FORMULAIRE_OK=0,"",ROUND((D13-E13)*'FORMULAIRE A COMPLETER'!G22,0))</f>
        <v/>
      </c>
      <c r="F15" s="84" t="str">
        <f t="shared" si="1"/>
        <v/>
      </c>
    </row>
    <row r="16" spans="1:6" ht="15" customHeight="1">
      <c r="B16" s="84" t="str">
        <f t="shared" si="0"/>
        <v/>
      </c>
      <c r="D16" s="124" t="str">
        <f>IF(C15="","",1)</f>
        <v/>
      </c>
      <c r="E16" s="124" t="str">
        <f>IF(C15="","",1)</f>
        <v/>
      </c>
      <c r="F16" s="84" t="str">
        <f t="shared" si="1"/>
        <v/>
      </c>
    </row>
    <row r="17" spans="2:6" ht="33.75" customHeight="1">
      <c r="B17" s="185" t="str">
        <f>IF(FORMULAIRE_OK=0,"","En cas d'option pour le cumul des abattements, rubrique DSCO (ou DSDO si déclarant 2) à compléter pour "&amp;-(E10+E11)&amp;" €")</f>
        <v/>
      </c>
      <c r="C17" s="185"/>
      <c r="D17" s="185"/>
      <c r="E17" s="185"/>
      <c r="F17" s="185"/>
    </row>
    <row r="18" spans="2:6" ht="19.5" customHeight="1">
      <c r="B18" s="181" t="str">
        <f>IF(FORMULAIRE_OK=0,""," Source : Guide à la déclaration sociale et fiscale de revenus 2023 - Médecin secteur 1 et 2, généraliste, spécialiste (page 11) ")</f>
        <v/>
      </c>
      <c r="C18" s="181"/>
      <c r="D18" s="181"/>
      <c r="E18" s="181"/>
      <c r="F18" s="181"/>
    </row>
  </sheetData>
  <sheetProtection sheet="1" objects="1" scenarios="1" selectLockedCells="1"/>
  <mergeCells count="5">
    <mergeCell ref="B18:F18"/>
    <mergeCell ref="A1:F1"/>
    <mergeCell ref="A3:F3"/>
    <mergeCell ref="C15:D15"/>
    <mergeCell ref="B17:F17"/>
  </mergeCells>
  <conditionalFormatting sqref="A1:B1 A3:F3 C6:E6 C13:E13">
    <cfRule type="notContainsBlanks" dxfId="21" priority="65">
      <formula>LEN(TRIM(A1))&gt;0</formula>
    </cfRule>
  </conditionalFormatting>
  <conditionalFormatting sqref="A6:B9">
    <cfRule type="notContainsBlanks" dxfId="20" priority="53">
      <formula>LEN(TRIM(A6))&gt;0</formula>
    </cfRule>
  </conditionalFormatting>
  <conditionalFormatting sqref="B6">
    <cfRule type="cellIs" dxfId="19" priority="21" operator="equal">
      <formula>" "</formula>
    </cfRule>
  </conditionalFormatting>
  <conditionalFormatting sqref="B7:B14">
    <cfRule type="cellIs" dxfId="18" priority="20" operator="equal">
      <formula>" "</formula>
    </cfRule>
  </conditionalFormatting>
  <conditionalFormatting sqref="B15">
    <cfRule type="cellIs" dxfId="17" priority="7" operator="equal">
      <formula>1</formula>
    </cfRule>
  </conditionalFormatting>
  <conditionalFormatting sqref="B17:F17">
    <cfRule type="notContainsBlanks" dxfId="16" priority="80">
      <formula>LEN(TRIM(B17))&gt;0</formula>
    </cfRule>
  </conditionalFormatting>
  <conditionalFormatting sqref="C8:E11">
    <cfRule type="notContainsBlanks" dxfId="15" priority="66">
      <formula>LEN(TRIM(C8))&gt;0</formula>
    </cfRule>
  </conditionalFormatting>
  <conditionalFormatting sqref="C15:E15">
    <cfRule type="notContainsBlanks" dxfId="14" priority="77">
      <formula>LEN(TRIM(C15))&gt;0</formula>
    </cfRule>
  </conditionalFormatting>
  <conditionalFormatting sqref="D16:E16">
    <cfRule type="notContainsBlanks" dxfId="13" priority="75">
      <formula>LEN(TRIM(D16))&gt;0</formula>
    </cfRule>
  </conditionalFormatting>
  <conditionalFormatting sqref="F6">
    <cfRule type="cellIs" dxfId="12" priority="17" operator="equal">
      <formula>1</formula>
    </cfRule>
  </conditionalFormatting>
  <conditionalFormatting sqref="F7:F14">
    <cfRule type="cellIs" dxfId="11" priority="10" operator="equal">
      <formula>1</formula>
    </cfRule>
  </conditionalFormatting>
  <conditionalFormatting sqref="F15">
    <cfRule type="cellIs" dxfId="10" priority="18" operator="equal">
      <formula>1</formula>
    </cfRule>
  </conditionalFormatting>
  <hyperlinks>
    <hyperlink ref="B18:F18" r:id="rId1" display="https://www.urssaf.fr/portail/files/live/sites/urssaf/files/pdf/guide_pam_3.pdf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7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L42"/>
  <sheetViews>
    <sheetView showGridLines="0" workbookViewId="0">
      <selection activeCell="A8" sqref="A8:L8"/>
    </sheetView>
  </sheetViews>
  <sheetFormatPr baseColWidth="10" defaultRowHeight="15"/>
  <cols>
    <col min="5" max="5" width="14.85546875" bestFit="1" customWidth="1"/>
    <col min="6" max="6" width="14.85546875" customWidth="1"/>
    <col min="9" max="9" width="14.42578125" customWidth="1"/>
    <col min="10" max="10" width="14" bestFit="1" customWidth="1"/>
    <col min="11" max="11" width="21.5703125" customWidth="1"/>
  </cols>
  <sheetData>
    <row r="1" spans="1:12">
      <c r="B1" t="s">
        <v>122</v>
      </c>
      <c r="C1">
        <f>IF('FORMULAIRE A COMPLETER'!E10="",0,1)</f>
        <v>0</v>
      </c>
    </row>
    <row r="2" spans="1:12">
      <c r="B2" t="s">
        <v>123</v>
      </c>
      <c r="C2">
        <f>IF('FORMULAIRE A COMPLETER'!G12="",0,1)</f>
        <v>0</v>
      </c>
    </row>
    <row r="3" spans="1:12">
      <c r="B3" t="s">
        <v>124</v>
      </c>
      <c r="C3">
        <f>IF('FORMULAIRE A COMPLETER'!G16="",0,1)</f>
        <v>0</v>
      </c>
    </row>
    <row r="4" spans="1:12">
      <c r="B4" t="s">
        <v>125</v>
      </c>
      <c r="C4">
        <f>IF('FORMULAIRE A COMPLETER'!G18="",0,1)</f>
        <v>1</v>
      </c>
    </row>
    <row r="5" spans="1:12">
      <c r="B5" t="s">
        <v>126</v>
      </c>
      <c r="C5">
        <f>IF('FORMULAIRE A COMPLETER'!G19="",0,1)</f>
        <v>1</v>
      </c>
    </row>
    <row r="6" spans="1:12">
      <c r="B6" t="s">
        <v>129</v>
      </c>
      <c r="C6">
        <f>IF('FORMULAIRE A COMPLETER'!G22="",0,1)</f>
        <v>0</v>
      </c>
    </row>
    <row r="7" spans="1:12">
      <c r="C7">
        <f>C1*C2*C3*C4*C5*C6</f>
        <v>0</v>
      </c>
    </row>
    <row r="8" spans="1:12" ht="26.25">
      <c r="A8" s="189" t="s">
        <v>10</v>
      </c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</row>
    <row r="10" spans="1:12">
      <c r="H10" s="17" t="s">
        <v>12</v>
      </c>
    </row>
    <row r="11" spans="1:12" ht="15.75" thickBot="1"/>
    <row r="12" spans="1:12" ht="15.75" thickBot="1">
      <c r="B12" t="s">
        <v>11</v>
      </c>
      <c r="H12" s="18">
        <f>FORMULAIRE!G16</f>
        <v>0</v>
      </c>
      <c r="I12" s="83"/>
      <c r="J12" s="83"/>
    </row>
    <row r="13" spans="1:12" ht="15.75" thickBot="1">
      <c r="B13" t="s">
        <v>17</v>
      </c>
      <c r="H13" s="18">
        <f>FORMULAIRE!G18</f>
        <v>0</v>
      </c>
      <c r="J13" t="s">
        <v>22</v>
      </c>
    </row>
    <row r="14" spans="1:12" ht="15.75" thickBot="1">
      <c r="B14" s="38" t="s">
        <v>19</v>
      </c>
      <c r="H14" s="18">
        <f>FORMULAIRE!G19</f>
        <v>0</v>
      </c>
    </row>
    <row r="15" spans="1:12" ht="15.75" thickBot="1">
      <c r="B15" t="s">
        <v>20</v>
      </c>
      <c r="H15" s="18">
        <f>FORMULAIRE!G12</f>
        <v>0</v>
      </c>
    </row>
    <row r="16" spans="1:12" ht="15.75" thickBot="1">
      <c r="B16" t="s">
        <v>108</v>
      </c>
      <c r="H16" s="18" t="e">
        <f>FORMULAIRE!G21+FORMULAIRE!G22</f>
        <v>#REF!</v>
      </c>
    </row>
    <row r="17" spans="1:12" ht="15.75" thickBot="1">
      <c r="B17" t="s">
        <v>109</v>
      </c>
      <c r="H17" s="18" t="e">
        <f>FORMULAIRE!G24+FORMULAIRE!G25+FORMULAIRE!G26</f>
        <v>#REF!</v>
      </c>
    </row>
    <row r="18" spans="1:12" ht="15.75" thickBot="1">
      <c r="B18" t="s">
        <v>8</v>
      </c>
      <c r="H18" s="19">
        <f>FORMULAIRE!G28</f>
        <v>0.3</v>
      </c>
    </row>
    <row r="19" spans="1:12" ht="15.75" thickBot="1">
      <c r="B19" t="s">
        <v>18</v>
      </c>
      <c r="C19" s="3"/>
      <c r="D19" s="3"/>
      <c r="E19" s="3"/>
      <c r="F19" s="3"/>
      <c r="G19" s="3"/>
      <c r="H19" s="80">
        <v>0.32</v>
      </c>
      <c r="I19" s="3"/>
      <c r="J19" s="3"/>
    </row>
    <row r="20" spans="1:12" ht="15.75" thickBot="1">
      <c r="B20" t="s">
        <v>95</v>
      </c>
      <c r="C20" s="3"/>
      <c r="D20" s="3"/>
      <c r="E20" s="193">
        <f>FORMULAIRE!E10</f>
        <v>0</v>
      </c>
      <c r="F20" s="194"/>
      <c r="G20" s="194"/>
      <c r="H20" s="195"/>
      <c r="I20" s="3"/>
      <c r="J20" s="3"/>
    </row>
    <row r="21" spans="1:12" ht="15.75" thickBot="1">
      <c r="C21" s="3"/>
      <c r="D21" s="3"/>
      <c r="E21" s="3"/>
      <c r="F21" s="3"/>
      <c r="G21" s="3"/>
      <c r="H21" s="3"/>
      <c r="I21" s="3"/>
      <c r="J21" s="3"/>
    </row>
    <row r="22" spans="1:12" ht="21">
      <c r="A22" s="186" t="s">
        <v>24</v>
      </c>
      <c r="B22" s="187"/>
      <c r="C22" s="187"/>
      <c r="D22" s="187"/>
      <c r="E22" s="187"/>
      <c r="F22" s="188"/>
      <c r="G22" s="186" t="s">
        <v>25</v>
      </c>
      <c r="H22" s="187"/>
      <c r="I22" s="187"/>
      <c r="J22" s="187"/>
      <c r="K22" s="187"/>
      <c r="L22" s="188"/>
    </row>
    <row r="23" spans="1:12" ht="15.75" thickBot="1">
      <c r="A23" s="20"/>
      <c r="C23" s="3"/>
      <c r="D23" s="3"/>
      <c r="E23" s="3"/>
      <c r="F23" s="21"/>
      <c r="G23" s="20"/>
      <c r="I23" s="3"/>
      <c r="J23" s="3"/>
      <c r="K23" s="3"/>
      <c r="L23" s="21"/>
    </row>
    <row r="24" spans="1:12" ht="16.5" thickBot="1">
      <c r="A24" s="22" t="s">
        <v>16</v>
      </c>
      <c r="B24" s="10"/>
      <c r="C24" s="10"/>
      <c r="D24" s="11"/>
      <c r="E24" s="10"/>
      <c r="F24" s="1">
        <f>ROUND(-(H12+H13)*0.02,0)</f>
        <v>0</v>
      </c>
      <c r="G24" s="11" t="s">
        <v>16</v>
      </c>
      <c r="H24" s="11"/>
      <c r="I24" s="11"/>
      <c r="J24" s="12"/>
      <c r="K24" s="10"/>
      <c r="L24" s="1">
        <f>ROUND(-(H12+H13)*0.02,0)</f>
        <v>0</v>
      </c>
    </row>
    <row r="25" spans="1:12" ht="16.5" thickBot="1">
      <c r="A25" s="23"/>
      <c r="D25" s="13"/>
      <c r="F25" s="26"/>
      <c r="G25" s="13" t="s">
        <v>15</v>
      </c>
      <c r="H25" s="13"/>
      <c r="I25" s="13"/>
      <c r="J25" s="3"/>
      <c r="L25" s="39">
        <f>ROUND(-(H12+H14)*0.03,0)</f>
        <v>0</v>
      </c>
    </row>
    <row r="26" spans="1:12" ht="16.5" thickBot="1">
      <c r="A26" s="23"/>
      <c r="D26" s="13"/>
      <c r="F26" s="24"/>
      <c r="G26" s="13" t="s">
        <v>14</v>
      </c>
      <c r="H26" s="13"/>
      <c r="I26" s="13"/>
      <c r="J26" s="3"/>
      <c r="L26" s="1">
        <f>-Chiffres!G92</f>
        <v>0</v>
      </c>
    </row>
    <row r="27" spans="1:12" ht="16.5" thickBot="1">
      <c r="A27" s="23" t="s">
        <v>113</v>
      </c>
      <c r="D27" s="13"/>
      <c r="F27" s="82" t="e">
        <f>H16</f>
        <v>#REF!</v>
      </c>
      <c r="G27" s="13" t="s">
        <v>113</v>
      </c>
      <c r="H27" s="13"/>
      <c r="I27" s="13"/>
      <c r="J27" s="3"/>
      <c r="L27" s="1" t="e">
        <f>H16</f>
        <v>#REF!</v>
      </c>
    </row>
    <row r="28" spans="1:12" ht="16.5" thickBot="1">
      <c r="A28" s="23" t="s">
        <v>114</v>
      </c>
      <c r="D28" s="13"/>
      <c r="F28" s="82" t="e">
        <f>H17</f>
        <v>#REF!</v>
      </c>
      <c r="G28" s="13" t="s">
        <v>114</v>
      </c>
      <c r="H28" s="13"/>
      <c r="L28" s="1" t="e">
        <f>H17</f>
        <v>#REF!</v>
      </c>
    </row>
    <row r="29" spans="1:12" ht="16.5" thickBot="1">
      <c r="A29" s="25" t="s">
        <v>111</v>
      </c>
      <c r="B29" s="14"/>
      <c r="C29" s="14"/>
      <c r="D29" s="15"/>
      <c r="E29" s="14"/>
      <c r="F29" s="7" t="e">
        <f>IF((H15+F24+F27+F28)&lt;0,0,H15+F24+F27+F28)</f>
        <v>#REF!</v>
      </c>
      <c r="G29" s="16" t="s">
        <v>112</v>
      </c>
      <c r="H29" s="15"/>
      <c r="I29" s="15"/>
      <c r="J29" s="14"/>
      <c r="K29" s="14"/>
      <c r="L29" s="7" t="e">
        <f>IF((H15+SUM(L24:L28))&lt;0,0,H15+SUM(L24:L28))</f>
        <v>#REF!</v>
      </c>
    </row>
    <row r="30" spans="1:12" ht="16.5" thickBot="1">
      <c r="A30" s="23"/>
      <c r="D30" s="2"/>
      <c r="F30" s="26"/>
      <c r="G30" s="13" t="s">
        <v>140</v>
      </c>
      <c r="H30" s="2"/>
      <c r="I30" s="2"/>
      <c r="L30" s="26">
        <f>+H15+L25+L26+L24</f>
        <v>0</v>
      </c>
    </row>
    <row r="31" spans="1:12" ht="16.5" thickBot="1">
      <c r="A31" s="27" t="s">
        <v>110</v>
      </c>
      <c r="B31" s="28"/>
      <c r="C31" s="28"/>
      <c r="D31" s="29"/>
      <c r="E31" s="28"/>
      <c r="F31" s="9">
        <f>H15+F24</f>
        <v>0</v>
      </c>
      <c r="G31" s="29" t="s">
        <v>110</v>
      </c>
      <c r="H31" s="29"/>
      <c r="I31" s="29"/>
      <c r="J31" s="28"/>
      <c r="K31" s="28"/>
      <c r="L31" s="9">
        <f>L30</f>
        <v>0</v>
      </c>
    </row>
    <row r="33" spans="1:10" ht="15.75" thickBot="1"/>
    <row r="34" spans="1:10" ht="20.25" customHeight="1" thickBot="1">
      <c r="D34" s="190" t="s">
        <v>13</v>
      </c>
      <c r="E34" s="191"/>
      <c r="F34" s="191"/>
      <c r="G34" s="191"/>
      <c r="H34" s="191"/>
      <c r="I34" s="192"/>
    </row>
    <row r="35" spans="1:10" ht="18.75" customHeight="1">
      <c r="A35" s="2"/>
      <c r="D35" s="31" t="s">
        <v>6</v>
      </c>
      <c r="E35" s="32"/>
      <c r="F35" s="32"/>
      <c r="G35" s="32"/>
      <c r="H35" s="32"/>
      <c r="I35" s="33" t="e">
        <f>ROUND(-(F29-L29)*H19,0)</f>
        <v>#REF!</v>
      </c>
      <c r="J35" t="e">
        <f>IF(I35&lt;&gt;0,IF(I35&lt;0,"Economie réalisée sur la baisse de la base 2035","Surcout lié à la hausse de la base 2035"),"")</f>
        <v>#REF!</v>
      </c>
    </row>
    <row r="36" spans="1:10" ht="18.75" customHeight="1">
      <c r="D36" s="34" t="s">
        <v>7</v>
      </c>
      <c r="E36" s="8"/>
      <c r="F36" s="8"/>
      <c r="G36" s="8"/>
      <c r="H36" s="8"/>
      <c r="I36" s="35">
        <f>ROUND(-(F31-L31)*H18,0)</f>
        <v>0</v>
      </c>
      <c r="J36" t="s">
        <v>21</v>
      </c>
    </row>
    <row r="37" spans="1:10" ht="30" customHeight="1" thickBot="1">
      <c r="D37" s="36" t="s">
        <v>9</v>
      </c>
      <c r="E37" s="30"/>
      <c r="F37" s="30"/>
      <c r="G37" s="30"/>
      <c r="H37" s="30"/>
      <c r="I37" s="37" t="e">
        <f>+I35+I36</f>
        <v>#REF!</v>
      </c>
    </row>
    <row r="42" spans="1:10">
      <c r="B42" t="s">
        <v>23</v>
      </c>
    </row>
  </sheetData>
  <mergeCells count="5">
    <mergeCell ref="A22:F22"/>
    <mergeCell ref="G22:L22"/>
    <mergeCell ref="A8:L8"/>
    <mergeCell ref="D34:I34"/>
    <mergeCell ref="E20:H20"/>
  </mergeCells>
  <dataValidations disablePrompts="1" count="1">
    <dataValidation type="list" allowBlank="1" showInputMessage="1" showErrorMessage="1" sqref="E20">
      <formula1>Cat_groupeIII</formula1>
    </dataValidation>
  </dataValidations>
  <pageMargins left="0.7" right="0.7" top="0.75" bottom="0.75" header="0.3" footer="0.3"/>
  <pageSetup paperSize="9" scale="5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B39" sqref="B39"/>
    </sheetView>
  </sheetViews>
  <sheetFormatPr baseColWidth="10" defaultRowHeight="15"/>
  <sheetData>
    <row r="1" spans="2:6">
      <c r="E1" s="5"/>
    </row>
    <row r="2" spans="2:6">
      <c r="E2" s="5"/>
    </row>
    <row r="3" spans="2:6">
      <c r="B3" t="s">
        <v>0</v>
      </c>
      <c r="D3" t="s">
        <v>5</v>
      </c>
      <c r="E3" s="5">
        <v>87719</v>
      </c>
    </row>
    <row r="4" spans="2:6">
      <c r="D4" t="s">
        <v>3</v>
      </c>
      <c r="E4" s="5">
        <v>11095</v>
      </c>
    </row>
    <row r="5" spans="2:6">
      <c r="D5" t="s">
        <v>4</v>
      </c>
      <c r="E5" s="4">
        <f>+E4/E3</f>
        <v>0.12648343004366214</v>
      </c>
    </row>
    <row r="6" spans="2:6">
      <c r="E6" s="5"/>
      <c r="F6" s="5"/>
    </row>
    <row r="7" spans="2:6">
      <c r="B7" t="s">
        <v>1</v>
      </c>
      <c r="D7" t="s">
        <v>2</v>
      </c>
      <c r="E7" s="5">
        <v>88653</v>
      </c>
    </row>
    <row r="8" spans="2:6">
      <c r="D8" t="s">
        <v>3</v>
      </c>
      <c r="E8" s="5">
        <v>17350</v>
      </c>
    </row>
    <row r="9" spans="2:6">
      <c r="D9" t="s">
        <v>4</v>
      </c>
      <c r="E9" s="4">
        <f>+E8/E7</f>
        <v>0.1957068570719547</v>
      </c>
    </row>
    <row r="13" spans="2:6">
      <c r="C13" t="s">
        <v>4</v>
      </c>
      <c r="E13" s="6">
        <f>+E9+E5</f>
        <v>0.32219028711561681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J15" sqref="J15"/>
    </sheetView>
  </sheetViews>
  <sheetFormatPr baseColWidth="10" defaultRowHeight="15"/>
  <cols>
    <col min="1" max="1" width="40.42578125" bestFit="1" customWidth="1"/>
    <col min="5" max="5" width="12.140625" bestFit="1" customWidth="1"/>
    <col min="7" max="7" width="13.85546875" bestFit="1" customWidth="1"/>
  </cols>
  <sheetData>
    <row r="1" spans="1:7" ht="33" customHeight="1" thickTop="1" thickBot="1">
      <c r="A1" s="202" t="s">
        <v>52</v>
      </c>
      <c r="B1" s="203"/>
      <c r="C1" s="203"/>
      <c r="D1" s="203"/>
      <c r="E1" s="203"/>
      <c r="F1" s="203"/>
      <c r="G1" s="54" t="e">
        <f>'CALCUL MEDEC. SECTEUR '!F29</f>
        <v>#REF!</v>
      </c>
    </row>
    <row r="2" spans="1:7" ht="15.75" thickTop="1">
      <c r="A2" s="196" t="s">
        <v>50</v>
      </c>
      <c r="B2" s="197"/>
      <c r="C2" s="197"/>
      <c r="D2" s="197"/>
      <c r="E2" s="197"/>
      <c r="F2" s="197"/>
      <c r="G2" s="198"/>
    </row>
    <row r="3" spans="1:7">
      <c r="A3" s="44" t="s">
        <v>26</v>
      </c>
      <c r="B3" t="s">
        <v>38</v>
      </c>
      <c r="C3" t="s">
        <v>39</v>
      </c>
      <c r="D3" t="s">
        <v>40</v>
      </c>
      <c r="G3" s="45"/>
    </row>
    <row r="4" spans="1:7">
      <c r="A4" s="44" t="str">
        <f>" * revenus &lt; "&amp;PASS_1.4xPASS&amp;" €"</f>
        <v xml:space="preserve"> * revenus &lt; 61589 €</v>
      </c>
      <c r="B4" t="e">
        <f>IF(G1&lt;PASS_1.4xPASS,1,0)</f>
        <v>#REF!</v>
      </c>
      <c r="C4" t="e">
        <f>IF(B4=1,Chiffres!B9,0)</f>
        <v>#REF!</v>
      </c>
      <c r="D4" t="e">
        <f>IF(B4=1,100%,0)</f>
        <v>#REF!</v>
      </c>
      <c r="G4" s="45"/>
    </row>
    <row r="5" spans="1:7">
      <c r="A5" s="44" t="str">
        <f>" * revenus compris entre "&amp;PASS_1.4xPASS&amp;" € et "&amp;PASS_2.5xPASS&amp;" €"</f>
        <v xml:space="preserve"> * revenus compris entre 61589 € et 109980 €</v>
      </c>
      <c r="B5" t="e">
        <f>IF(OR(B4=1,B6=1),0,1)</f>
        <v>#REF!</v>
      </c>
      <c r="C5" t="e">
        <f>IF(B5=1,Chiffres!B10,0)</f>
        <v>#REF!</v>
      </c>
      <c r="D5" t="e">
        <f>IF(B5=1,Chiffres!B12,0)</f>
        <v>#REF!</v>
      </c>
      <c r="G5" s="45"/>
    </row>
    <row r="6" spans="1:7">
      <c r="A6" s="44" t="str">
        <f>" * revenus &gt; "&amp;PASS_2.5xPASS&amp;" €"</f>
        <v xml:space="preserve"> * revenus &gt; 109980 €</v>
      </c>
      <c r="B6" t="e">
        <f>IF(G1&gt;PASS_2.5xPASS,1,0)</f>
        <v>#REF!</v>
      </c>
      <c r="C6" t="e">
        <f>IF(B6=1,Chiffres!B10,0)</f>
        <v>#REF!</v>
      </c>
      <c r="D6" t="e">
        <f>IF(B6=1,Chiffres!B13,0)</f>
        <v>#REF!</v>
      </c>
      <c r="G6" s="45"/>
    </row>
    <row r="7" spans="1:7">
      <c r="A7" s="44"/>
      <c r="C7" t="e">
        <f>SUM(C4:C6)</f>
        <v>#REF!</v>
      </c>
      <c r="D7" t="e">
        <f>SUM(D4:D6)</f>
        <v>#REF!</v>
      </c>
      <c r="G7" s="45"/>
    </row>
    <row r="8" spans="1:7">
      <c r="A8" s="44"/>
      <c r="B8" s="46" t="s">
        <v>42</v>
      </c>
      <c r="C8" s="204" t="s">
        <v>43</v>
      </c>
      <c r="D8" s="204"/>
      <c r="E8" s="204" t="s">
        <v>40</v>
      </c>
      <c r="F8" s="204"/>
      <c r="G8" s="47" t="s">
        <v>44</v>
      </c>
    </row>
    <row r="9" spans="1:7" ht="15.75" thickBot="1">
      <c r="A9" s="48" t="s">
        <v>41</v>
      </c>
      <c r="B9" s="49" t="e">
        <f>G1</f>
        <v>#REF!</v>
      </c>
      <c r="C9" s="50" t="e">
        <f>C7</f>
        <v>#REF!</v>
      </c>
      <c r="D9" s="49" t="e">
        <f>ROUND(B9*C9,0)</f>
        <v>#REF!</v>
      </c>
      <c r="E9" s="51" t="e">
        <f>D7</f>
        <v>#REF!</v>
      </c>
      <c r="F9" s="49" t="e">
        <f>ROUND(D9*E9,0)</f>
        <v>#REF!</v>
      </c>
      <c r="G9" s="52" t="e">
        <f>D9-F9</f>
        <v>#REF!</v>
      </c>
    </row>
    <row r="10" spans="1:7" ht="15.75" thickTop="1">
      <c r="A10" s="199" t="s">
        <v>51</v>
      </c>
      <c r="B10" s="200"/>
      <c r="C10" s="200"/>
      <c r="D10" s="200"/>
      <c r="E10" s="200"/>
      <c r="F10" s="200"/>
      <c r="G10" s="201"/>
    </row>
    <row r="11" spans="1:7">
      <c r="A11" s="44"/>
      <c r="B11" s="46" t="s">
        <v>42</v>
      </c>
      <c r="C11" s="204" t="s">
        <v>43</v>
      </c>
      <c r="D11" s="204"/>
      <c r="E11" s="204" t="s">
        <v>40</v>
      </c>
      <c r="F11" s="204"/>
      <c r="G11" s="47" t="s">
        <v>44</v>
      </c>
    </row>
    <row r="12" spans="1:7" ht="15.75" thickBot="1">
      <c r="A12" s="48" t="s">
        <v>45</v>
      </c>
      <c r="B12" s="49" t="e">
        <f>G1</f>
        <v>#REF!</v>
      </c>
      <c r="C12" s="53">
        <f>Chiffres!B15</f>
        <v>6.5000000000000002E-2</v>
      </c>
      <c r="D12" s="49" t="e">
        <f>ROUND(B12*C12,0)</f>
        <v>#REF!</v>
      </c>
      <c r="E12" s="53">
        <f>Chiffres!B16</f>
        <v>6.4000000000000001E-2</v>
      </c>
      <c r="F12" s="49" t="e">
        <f>ROUND(B12*E12,0)</f>
        <v>#REF!</v>
      </c>
      <c r="G12" s="52" t="e">
        <f>D12-F12</f>
        <v>#REF!</v>
      </c>
    </row>
    <row r="13" spans="1:7" ht="15.75" thickTop="1">
      <c r="A13" s="199" t="s">
        <v>48</v>
      </c>
      <c r="B13" s="200"/>
      <c r="C13" s="200"/>
      <c r="D13" s="200"/>
      <c r="E13" s="200"/>
      <c r="F13" s="200"/>
      <c r="G13" s="201"/>
    </row>
    <row r="14" spans="1:7">
      <c r="A14" s="44"/>
      <c r="B14" s="46" t="s">
        <v>42</v>
      </c>
      <c r="C14" s="204" t="s">
        <v>43</v>
      </c>
      <c r="D14" s="204"/>
      <c r="E14" s="204" t="s">
        <v>99</v>
      </c>
      <c r="F14" s="204"/>
      <c r="G14" s="47" t="s">
        <v>44</v>
      </c>
    </row>
    <row r="15" spans="1:7" ht="15.75" thickBot="1">
      <c r="A15" s="48" t="s">
        <v>48</v>
      </c>
      <c r="B15" s="49" t="e">
        <f>G1</f>
        <v>#REF!</v>
      </c>
      <c r="C15" s="53">
        <f>Chiffres!B18</f>
        <v>9.7000000000000003E-2</v>
      </c>
      <c r="D15" s="49" t="e">
        <f>ROUND(B15*C15,0)</f>
        <v>#REF!</v>
      </c>
      <c r="E15" s="81" t="e">
        <f>G9+G12+G24+G25+G28+G31+G32+G35</f>
        <v>#REF!</v>
      </c>
      <c r="F15" s="49" t="e">
        <f>ROUND(E15*C15,0)</f>
        <v>#REF!</v>
      </c>
      <c r="G15" s="52" t="e">
        <f>D15+F15</f>
        <v>#REF!</v>
      </c>
    </row>
    <row r="16" spans="1:7" ht="15.75" thickTop="1">
      <c r="A16" s="199" t="s">
        <v>84</v>
      </c>
      <c r="B16" s="200"/>
      <c r="C16" s="200"/>
      <c r="D16" s="200"/>
      <c r="E16" s="200"/>
      <c r="F16" s="200"/>
      <c r="G16" s="201"/>
    </row>
    <row r="17" spans="1:7">
      <c r="A17" s="44"/>
      <c r="B17" s="46" t="s">
        <v>42</v>
      </c>
      <c r="C17" s="204" t="s">
        <v>43</v>
      </c>
      <c r="D17" s="204"/>
      <c r="E17" s="204" t="s">
        <v>40</v>
      </c>
      <c r="F17" s="204"/>
      <c r="G17" s="47" t="s">
        <v>44</v>
      </c>
    </row>
    <row r="18" spans="1:7" ht="15.75" thickBot="1">
      <c r="A18" s="48" t="s">
        <v>84</v>
      </c>
      <c r="B18" s="49">
        <f>PASS</f>
        <v>43992</v>
      </c>
      <c r="C18" s="53">
        <f>Chiffres!B19</f>
        <v>2.5000000000000001E-3</v>
      </c>
      <c r="D18" s="49">
        <f>IF(ROUND(B18*C18,0)&lt;206,ROUND(B18*C18,0),206)</f>
        <v>110</v>
      </c>
      <c r="E18" s="53"/>
      <c r="F18" s="49"/>
      <c r="G18" s="52">
        <f>D18-F18</f>
        <v>110</v>
      </c>
    </row>
    <row r="19" spans="1:7" ht="15.75" thickTop="1">
      <c r="A19" s="199" t="s">
        <v>81</v>
      </c>
      <c r="B19" s="200"/>
      <c r="C19" s="200"/>
      <c r="D19" s="200"/>
      <c r="E19" s="200"/>
      <c r="F19" s="200"/>
      <c r="G19" s="201"/>
    </row>
    <row r="20" spans="1:7">
      <c r="A20" s="44"/>
      <c r="B20" s="46" t="s">
        <v>42</v>
      </c>
      <c r="C20" s="204" t="s">
        <v>43</v>
      </c>
      <c r="D20" s="204"/>
      <c r="E20" s="204" t="s">
        <v>40</v>
      </c>
      <c r="F20" s="204"/>
      <c r="G20" s="47" t="s">
        <v>44</v>
      </c>
    </row>
    <row r="21" spans="1:7" ht="15.75" thickBot="1">
      <c r="A21" s="48" t="s">
        <v>81</v>
      </c>
      <c r="B21" s="49" t="e">
        <f>G1</f>
        <v>#REF!</v>
      </c>
      <c r="C21" s="53">
        <f>Chiffres!B20</f>
        <v>5.0000000000000001E-3</v>
      </c>
      <c r="D21" s="49" t="e">
        <f>IF(ROUND(B21*C21,0)&lt;ROUND(PASS*0.005,0),ROUND(B21*C21,0),ROUND(PASS*0.005,0))</f>
        <v>#REF!</v>
      </c>
      <c r="E21" s="53"/>
      <c r="F21" s="49"/>
      <c r="G21" s="52" t="e">
        <f>D21-F21</f>
        <v>#REF!</v>
      </c>
    </row>
    <row r="22" spans="1:7" ht="15.75" thickTop="1">
      <c r="A22" s="196" t="s">
        <v>53</v>
      </c>
      <c r="B22" s="197"/>
      <c r="C22" s="197"/>
      <c r="D22" s="197"/>
      <c r="E22" s="197"/>
      <c r="F22" s="197"/>
      <c r="G22" s="198"/>
    </row>
    <row r="23" spans="1:7">
      <c r="A23" s="44"/>
      <c r="B23" s="46" t="s">
        <v>42</v>
      </c>
      <c r="C23" s="204" t="s">
        <v>43</v>
      </c>
      <c r="D23" s="204"/>
      <c r="E23" s="204" t="s">
        <v>40</v>
      </c>
      <c r="F23" s="204"/>
      <c r="G23" s="47" t="s">
        <v>44</v>
      </c>
    </row>
    <row r="24" spans="1:7">
      <c r="A24" s="59" t="s">
        <v>55</v>
      </c>
      <c r="B24" s="55" t="e">
        <f>IF(G1&gt;PASS,PASS,IF(G1&lt;PASS*0.115,ROUND(PASS*0.115,0),G1))</f>
        <v>#REF!</v>
      </c>
      <c r="C24" s="56">
        <f>Chiffres!B23</f>
        <v>8.2299999999999998E-2</v>
      </c>
      <c r="D24" s="55" t="e">
        <f>ROUND(B24*C24,0)</f>
        <v>#REF!</v>
      </c>
      <c r="E24" s="56">
        <f>Chiffres!B26</f>
        <v>1.95E-2</v>
      </c>
      <c r="F24" s="55" t="e">
        <f>ROUND(B24*E24,0)</f>
        <v>#REF!</v>
      </c>
      <c r="G24" s="60" t="e">
        <f>D24-F24</f>
        <v>#REF!</v>
      </c>
    </row>
    <row r="25" spans="1:7" ht="15.75" thickBot="1">
      <c r="A25" s="48" t="s">
        <v>56</v>
      </c>
      <c r="B25" s="49" t="e">
        <f>IF(G1&gt;PASS_5xPASS,PASS_5xPASS,IF(G1&lt;PASS*0.115,ROUND(PASS*0.115,0),G1))</f>
        <v>#REF!</v>
      </c>
      <c r="C25" s="50">
        <f>Chiffres!B24</f>
        <v>1.8700000000000001E-2</v>
      </c>
      <c r="D25" s="49" t="e">
        <f>ROUND(B25*C25,0)</f>
        <v>#REF!</v>
      </c>
      <c r="E25" s="50">
        <f>Chiffres!B27</f>
        <v>2.8E-3</v>
      </c>
      <c r="F25" s="49" t="e">
        <f>ROUND(B25*E25,0)</f>
        <v>#REF!</v>
      </c>
      <c r="G25" s="52" t="e">
        <f>D25-F25</f>
        <v>#REF!</v>
      </c>
    </row>
    <row r="26" spans="1:7" ht="15.75" thickTop="1">
      <c r="A26" s="196" t="s">
        <v>61</v>
      </c>
      <c r="B26" s="197"/>
      <c r="C26" s="197"/>
      <c r="D26" s="197"/>
      <c r="E26" s="197"/>
      <c r="F26" s="197"/>
      <c r="G26" s="198"/>
    </row>
    <row r="27" spans="1:7">
      <c r="A27" s="44"/>
      <c r="B27" s="46" t="s">
        <v>42</v>
      </c>
      <c r="C27" s="204" t="s">
        <v>43</v>
      </c>
      <c r="D27" s="204"/>
      <c r="E27" s="204" t="s">
        <v>40</v>
      </c>
      <c r="F27" s="204"/>
      <c r="G27" s="47" t="s">
        <v>44</v>
      </c>
    </row>
    <row r="28" spans="1:7" ht="15.75" thickBot="1">
      <c r="A28" s="59" t="s">
        <v>62</v>
      </c>
      <c r="B28" s="55" t="e">
        <f>IF(G1&gt;PASS_3.5xPASS,PASS_3.5xPASS,G1)</f>
        <v>#REF!</v>
      </c>
      <c r="C28" s="56">
        <f>Chiffres!B29</f>
        <v>0.1</v>
      </c>
      <c r="D28" s="55" t="e">
        <f>ROUND(B28*C28,0)</f>
        <v>#REF!</v>
      </c>
      <c r="E28" s="56"/>
      <c r="F28" s="55"/>
      <c r="G28" s="60" t="e">
        <f>D28-F28</f>
        <v>#REF!</v>
      </c>
    </row>
    <row r="29" spans="1:7" ht="15.75" thickTop="1">
      <c r="A29" s="196" t="s">
        <v>65</v>
      </c>
      <c r="B29" s="197"/>
      <c r="C29" s="197"/>
      <c r="D29" s="197"/>
      <c r="E29" s="197"/>
      <c r="F29" s="197"/>
      <c r="G29" s="198"/>
    </row>
    <row r="30" spans="1:7">
      <c r="A30" s="44"/>
      <c r="B30" s="46" t="s">
        <v>42</v>
      </c>
      <c r="C30" s="204" t="s">
        <v>43</v>
      </c>
      <c r="D30" s="204"/>
      <c r="E30" s="204" t="s">
        <v>40</v>
      </c>
      <c r="F30" s="204"/>
      <c r="G30" s="47" t="s">
        <v>44</v>
      </c>
    </row>
    <row r="31" spans="1:7">
      <c r="A31" s="59" t="s">
        <v>66</v>
      </c>
      <c r="B31" s="55"/>
      <c r="C31" s="56"/>
      <c r="D31" s="55"/>
      <c r="E31" s="56"/>
      <c r="F31" s="55"/>
      <c r="G31" s="60">
        <f>Chiffres!B32</f>
        <v>1874</v>
      </c>
    </row>
    <row r="32" spans="1:7" ht="15.75" thickBot="1">
      <c r="A32" s="48" t="s">
        <v>69</v>
      </c>
      <c r="B32" s="49" t="e">
        <f>IF(G1&gt;PASS_5xPASS,PASS_5xPASS,G1)</f>
        <v>#REF!</v>
      </c>
      <c r="C32" s="63">
        <f>Chiffres!B33</f>
        <v>1.2666999999999999E-2</v>
      </c>
      <c r="D32" s="49" t="e">
        <f>ROUND(B32*C32,0)</f>
        <v>#REF!</v>
      </c>
      <c r="E32" s="50"/>
      <c r="F32" s="49"/>
      <c r="G32" s="52" t="e">
        <f>D32-F32</f>
        <v>#REF!</v>
      </c>
    </row>
    <row r="33" spans="1:7" ht="15.75" thickTop="1">
      <c r="A33" s="196" t="s">
        <v>70</v>
      </c>
      <c r="B33" s="197"/>
      <c r="C33" s="197"/>
      <c r="D33" s="197"/>
      <c r="E33" s="197"/>
      <c r="F33" s="197"/>
      <c r="G33" s="198"/>
    </row>
    <row r="34" spans="1:7">
      <c r="A34" s="44"/>
      <c r="B34" s="46" t="s">
        <v>42</v>
      </c>
      <c r="C34" s="204" t="s">
        <v>43</v>
      </c>
      <c r="D34" s="204"/>
      <c r="E34" s="204" t="s">
        <v>40</v>
      </c>
      <c r="F34" s="204"/>
      <c r="G34" s="47" t="s">
        <v>44</v>
      </c>
    </row>
    <row r="35" spans="1:7" ht="15.75" thickBot="1">
      <c r="A35" s="59" t="s">
        <v>71</v>
      </c>
      <c r="B35" s="55"/>
      <c r="C35" s="56"/>
      <c r="D35" s="55"/>
      <c r="E35" s="56"/>
      <c r="F35" s="55"/>
      <c r="G35" s="60" t="e">
        <f>IF(G1&lt;PASS,Chiffres!B36,IF(G1&gt;PASS_3xPASS,Chiffres!B38,IF(AND(G1&gt;PASS,G1&lt;PASS_3xPASS),Chiffres!B37,0)))</f>
        <v>#REF!</v>
      </c>
    </row>
    <row r="36" spans="1:7" ht="30.75" customHeight="1" thickTop="1" thickBot="1">
      <c r="A36" s="205" t="s">
        <v>79</v>
      </c>
      <c r="B36" s="206"/>
      <c r="C36" s="206"/>
      <c r="D36" s="206"/>
      <c r="E36" s="206"/>
      <c r="F36" s="206"/>
      <c r="G36" s="67" t="e">
        <f>G35+G32+G31+G28+G25+G24+G15+G12+G9+G18+G21</f>
        <v>#REF!</v>
      </c>
    </row>
    <row r="37" spans="1:7" ht="15.75" thickTop="1">
      <c r="A37" s="207" t="s">
        <v>80</v>
      </c>
      <c r="B37" s="207"/>
    </row>
    <row r="38" spans="1:7">
      <c r="A38">
        <f>Chiffres!A42</f>
        <v>0</v>
      </c>
      <c r="B38">
        <f>Chiffres!B42</f>
        <v>11294</v>
      </c>
      <c r="C38">
        <f>IF('CALCUL MEDEC. SECTEUR '!$F$31&lt;A39,1,0)</f>
        <v>1</v>
      </c>
      <c r="D38" s="4">
        <f>IF(C38=1,Chiffres!C42,0)</f>
        <v>0</v>
      </c>
    </row>
    <row r="39" spans="1:7">
      <c r="A39">
        <f>Chiffres!A43</f>
        <v>11295</v>
      </c>
      <c r="B39">
        <f>Chiffres!B43</f>
        <v>28797</v>
      </c>
      <c r="C39">
        <f>IF(AND('CALCUL MEDEC. SECTEUR '!$F$31&lt;A40,'CALCUL MEDEC. SECTEUR '!$F$31&gt;B38),1,0)</f>
        <v>0</v>
      </c>
      <c r="D39" s="4">
        <f>IF(C39=1,Chiffres!C43,0)</f>
        <v>0</v>
      </c>
    </row>
    <row r="40" spans="1:7">
      <c r="A40">
        <f>Chiffres!A44</f>
        <v>28798</v>
      </c>
      <c r="B40">
        <f>Chiffres!B44</f>
        <v>82341</v>
      </c>
      <c r="C40">
        <f>IF(AND('CALCUL MEDEC. SECTEUR '!$F$31&lt;A41,'CALCUL MEDEC. SECTEUR '!$F$31&gt;B39),1,0)</f>
        <v>0</v>
      </c>
      <c r="D40" s="4">
        <f>IF(C40=1,Chiffres!C44,0)</f>
        <v>0</v>
      </c>
    </row>
    <row r="41" spans="1:7">
      <c r="A41">
        <f>Chiffres!A45</f>
        <v>82342</v>
      </c>
      <c r="B41">
        <f>Chiffres!B45</f>
        <v>177106</v>
      </c>
      <c r="C41">
        <f>IF(AND('CALCUL MEDEC. SECTEUR '!$F$31&lt;A42,'CALCUL MEDEC. SECTEUR '!$F$31&gt;B40),1,0)</f>
        <v>0</v>
      </c>
      <c r="D41" s="4">
        <f>IF(C41=1,Chiffres!C45,0)</f>
        <v>0</v>
      </c>
    </row>
    <row r="42" spans="1:7">
      <c r="A42">
        <f>Chiffres!A46</f>
        <v>177107</v>
      </c>
      <c r="B42">
        <f>Chiffres!B46</f>
        <v>0</v>
      </c>
      <c r="C42">
        <f>IF('CALCUL MEDEC. SECTEUR '!$F$31&gt;B41,1,0)</f>
        <v>0</v>
      </c>
      <c r="D42" s="4">
        <f>IF(C42=1,Chiffres!C46,0)</f>
        <v>0</v>
      </c>
    </row>
    <row r="43" spans="1:7">
      <c r="D43" s="6">
        <f>SUM(D38:D42)</f>
        <v>0</v>
      </c>
    </row>
    <row r="44" spans="1:7">
      <c r="A44" t="str">
        <f>"Pour information, taux marginal d'IR = "&amp;D43*100&amp;" % pour un revenu de "&amp;'CALCUL MEDEC. SECTEUR '!$F$31&amp;" € (NB : pour 1 part et seulement des revenus médicaux… à affiner le cas échéant)"</f>
        <v>Pour information, taux marginal d'IR = 0 % pour un revenu de 0 € (NB : pour 1 part et seulement des revenus médicaux… à affiner le cas échéant)</v>
      </c>
    </row>
  </sheetData>
  <mergeCells count="30">
    <mergeCell ref="A36:F36"/>
    <mergeCell ref="A37:B37"/>
    <mergeCell ref="A19:G19"/>
    <mergeCell ref="C20:D20"/>
    <mergeCell ref="E20:F20"/>
    <mergeCell ref="A33:G33"/>
    <mergeCell ref="C34:D34"/>
    <mergeCell ref="E34:F34"/>
    <mergeCell ref="A29:G29"/>
    <mergeCell ref="C30:D30"/>
    <mergeCell ref="E30:F30"/>
    <mergeCell ref="C23:D23"/>
    <mergeCell ref="E23:F23"/>
    <mergeCell ref="A26:G26"/>
    <mergeCell ref="C27:D27"/>
    <mergeCell ref="E27:F27"/>
    <mergeCell ref="A2:G2"/>
    <mergeCell ref="A10:G10"/>
    <mergeCell ref="A13:G13"/>
    <mergeCell ref="A1:F1"/>
    <mergeCell ref="A22:G22"/>
    <mergeCell ref="E8:F8"/>
    <mergeCell ref="C8:D8"/>
    <mergeCell ref="C11:D11"/>
    <mergeCell ref="E11:F11"/>
    <mergeCell ref="C14:D14"/>
    <mergeCell ref="E14:F14"/>
    <mergeCell ref="A16:G16"/>
    <mergeCell ref="C17:D17"/>
    <mergeCell ref="E17:F17"/>
  </mergeCells>
  <pageMargins left="0.7" right="0.7" top="0.75" bottom="0.75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A16" sqref="A16:G16"/>
    </sheetView>
  </sheetViews>
  <sheetFormatPr baseColWidth="10" defaultRowHeight="15"/>
  <cols>
    <col min="1" max="1" width="40.42578125" bestFit="1" customWidth="1"/>
    <col min="7" max="7" width="13.85546875" bestFit="1" customWidth="1"/>
  </cols>
  <sheetData>
    <row r="1" spans="1:7" ht="33" customHeight="1" thickTop="1" thickBot="1">
      <c r="A1" s="202" t="s">
        <v>146</v>
      </c>
      <c r="B1" s="203"/>
      <c r="C1" s="203"/>
      <c r="D1" s="203"/>
      <c r="E1" s="203"/>
      <c r="F1" s="203"/>
      <c r="G1" s="54" t="e">
        <f>'CALCUL MEDEC. SECTEUR '!L29</f>
        <v>#REF!</v>
      </c>
    </row>
    <row r="2" spans="1:7" ht="15.75" thickTop="1">
      <c r="A2" s="196" t="s">
        <v>50</v>
      </c>
      <c r="B2" s="197"/>
      <c r="C2" s="197"/>
      <c r="D2" s="197"/>
      <c r="E2" s="197"/>
      <c r="F2" s="197"/>
      <c r="G2" s="198"/>
    </row>
    <row r="3" spans="1:7">
      <c r="A3" s="44" t="s">
        <v>26</v>
      </c>
      <c r="B3" t="s">
        <v>38</v>
      </c>
      <c r="C3" t="s">
        <v>39</v>
      </c>
      <c r="D3" t="s">
        <v>40</v>
      </c>
      <c r="G3" s="45"/>
    </row>
    <row r="4" spans="1:7">
      <c r="A4" s="44" t="str">
        <f>" * revenus &lt; "&amp;PASS_1.4xPASS&amp;" €"</f>
        <v xml:space="preserve"> * revenus &lt; 61589 €</v>
      </c>
      <c r="B4" t="e">
        <f>IF(G1&lt;PASS_1.4xPASS,1,0)</f>
        <v>#REF!</v>
      </c>
      <c r="C4" t="e">
        <f>IF(B4=1,Chiffres!B9,0)</f>
        <v>#REF!</v>
      </c>
      <c r="D4" t="e">
        <f>IF(B4=1,100%,0)</f>
        <v>#REF!</v>
      </c>
      <c r="G4" s="45"/>
    </row>
    <row r="5" spans="1:7">
      <c r="A5" s="44" t="str">
        <f>" * revenus compris entre "&amp;PASS_1.4xPASS&amp;" € et "&amp;PASS_2.5xPASS&amp;" €"</f>
        <v xml:space="preserve"> * revenus compris entre 61589 € et 109980 €</v>
      </c>
      <c r="B5" t="e">
        <f>IF(OR(B4=1,B6=1),0,1)</f>
        <v>#REF!</v>
      </c>
      <c r="C5" t="e">
        <f>IF(B5=1,Chiffres!B10,0)</f>
        <v>#REF!</v>
      </c>
      <c r="D5" t="e">
        <f>IF(B5=1,Chiffres!B12,0)</f>
        <v>#REF!</v>
      </c>
      <c r="G5" s="45"/>
    </row>
    <row r="6" spans="1:7">
      <c r="A6" s="44" t="str">
        <f>" * revenus &gt; "&amp;PASS_2.5xPASS&amp;" €"</f>
        <v xml:space="preserve"> * revenus &gt; 109980 €</v>
      </c>
      <c r="B6" t="e">
        <f>IF(G1&gt;PASS_2.5xPASS,1,0)</f>
        <v>#REF!</v>
      </c>
      <c r="C6" t="e">
        <f>IF(B6=1,Chiffres!B10,0)</f>
        <v>#REF!</v>
      </c>
      <c r="D6" t="e">
        <f>IF(B6=1,Chiffres!B13,0)</f>
        <v>#REF!</v>
      </c>
      <c r="G6" s="45"/>
    </row>
    <row r="7" spans="1:7">
      <c r="A7" s="44"/>
      <c r="C7" t="e">
        <f>SUM(C4:C6)</f>
        <v>#REF!</v>
      </c>
      <c r="D7" t="e">
        <f>SUM(D4:D6)</f>
        <v>#REF!</v>
      </c>
      <c r="G7" s="45"/>
    </row>
    <row r="8" spans="1:7">
      <c r="A8" s="44"/>
      <c r="B8" s="46" t="s">
        <v>42</v>
      </c>
      <c r="C8" s="204" t="s">
        <v>43</v>
      </c>
      <c r="D8" s="204"/>
      <c r="E8" s="204" t="s">
        <v>40</v>
      </c>
      <c r="F8" s="204"/>
      <c r="G8" s="47" t="s">
        <v>44</v>
      </c>
    </row>
    <row r="9" spans="1:7" ht="15.75" thickBot="1">
      <c r="A9" s="48" t="s">
        <v>41</v>
      </c>
      <c r="B9" s="49" t="e">
        <f>G1</f>
        <v>#REF!</v>
      </c>
      <c r="C9" s="50" t="e">
        <f>C7</f>
        <v>#REF!</v>
      </c>
      <c r="D9" s="49" t="e">
        <f>ROUND(B9*C9,0)</f>
        <v>#REF!</v>
      </c>
      <c r="E9" s="51" t="e">
        <f>D7</f>
        <v>#REF!</v>
      </c>
      <c r="F9" s="49" t="e">
        <f>ROUND(D9*E9,0)</f>
        <v>#REF!</v>
      </c>
      <c r="G9" s="52" t="e">
        <f>D9-F9</f>
        <v>#REF!</v>
      </c>
    </row>
    <row r="10" spans="1:7" ht="15.75" thickTop="1">
      <c r="A10" s="199" t="s">
        <v>51</v>
      </c>
      <c r="B10" s="200"/>
      <c r="C10" s="200"/>
      <c r="D10" s="200"/>
      <c r="E10" s="200"/>
      <c r="F10" s="200"/>
      <c r="G10" s="201"/>
    </row>
    <row r="11" spans="1:7">
      <c r="A11" s="44"/>
      <c r="B11" s="46" t="s">
        <v>42</v>
      </c>
      <c r="C11" s="204" t="s">
        <v>43</v>
      </c>
      <c r="D11" s="204"/>
      <c r="E11" s="204" t="s">
        <v>40</v>
      </c>
      <c r="F11" s="204"/>
      <c r="G11" s="47" t="s">
        <v>44</v>
      </c>
    </row>
    <row r="12" spans="1:7" ht="15.75" thickBot="1">
      <c r="A12" s="48" t="s">
        <v>45</v>
      </c>
      <c r="B12" s="49" t="e">
        <f>G1</f>
        <v>#REF!</v>
      </c>
      <c r="C12" s="53">
        <f>Chiffres!B15</f>
        <v>6.5000000000000002E-2</v>
      </c>
      <c r="D12" s="49" t="e">
        <f>ROUND(B12*C12,0)</f>
        <v>#REF!</v>
      </c>
      <c r="E12" s="53">
        <f>Chiffres!B16</f>
        <v>6.4000000000000001E-2</v>
      </c>
      <c r="F12" s="49" t="e">
        <f>ROUND(B12*E12,0)</f>
        <v>#REF!</v>
      </c>
      <c r="G12" s="52" t="e">
        <f>D12-F12</f>
        <v>#REF!</v>
      </c>
    </row>
    <row r="13" spans="1:7" ht="15.75" thickTop="1">
      <c r="A13" s="199" t="s">
        <v>48</v>
      </c>
      <c r="B13" s="200"/>
      <c r="C13" s="200"/>
      <c r="D13" s="200"/>
      <c r="E13" s="200"/>
      <c r="F13" s="200"/>
      <c r="G13" s="201"/>
    </row>
    <row r="14" spans="1:7">
      <c r="A14" s="44"/>
      <c r="B14" s="46" t="s">
        <v>42</v>
      </c>
      <c r="C14" s="204" t="s">
        <v>43</v>
      </c>
      <c r="D14" s="204"/>
      <c r="E14" s="204" t="s">
        <v>100</v>
      </c>
      <c r="F14" s="204"/>
      <c r="G14" s="47" t="s">
        <v>44</v>
      </c>
    </row>
    <row r="15" spans="1:7" ht="15.75" thickBot="1">
      <c r="A15" s="48" t="s">
        <v>48</v>
      </c>
      <c r="B15" s="49" t="e">
        <f>G1</f>
        <v>#REF!</v>
      </c>
      <c r="C15" s="53">
        <f>Chiffres!B18</f>
        <v>9.7000000000000003E-2</v>
      </c>
      <c r="D15" s="49" t="e">
        <f>ROUND(B15*C15,0)</f>
        <v>#REF!</v>
      </c>
      <c r="E15" s="81" t="e">
        <f>G9+G12+G24+G25+G28+G31+G32+G35</f>
        <v>#REF!</v>
      </c>
      <c r="F15" s="49" t="e">
        <f>ROUND(C15*E15,0)</f>
        <v>#REF!</v>
      </c>
      <c r="G15" s="52" t="e">
        <f>D15+F15</f>
        <v>#REF!</v>
      </c>
    </row>
    <row r="16" spans="1:7" ht="15.75" thickTop="1">
      <c r="A16" s="199" t="s">
        <v>84</v>
      </c>
      <c r="B16" s="200"/>
      <c r="C16" s="200"/>
      <c r="D16" s="200"/>
      <c r="E16" s="200"/>
      <c r="F16" s="200"/>
      <c r="G16" s="201"/>
    </row>
    <row r="17" spans="1:7">
      <c r="A17" s="44"/>
      <c r="B17" s="46" t="s">
        <v>42</v>
      </c>
      <c r="C17" s="204" t="s">
        <v>43</v>
      </c>
      <c r="D17" s="204"/>
      <c r="E17" s="204" t="s">
        <v>40</v>
      </c>
      <c r="F17" s="204"/>
      <c r="G17" s="47" t="s">
        <v>44</v>
      </c>
    </row>
    <row r="18" spans="1:7" ht="15.75" thickBot="1">
      <c r="A18" s="48" t="s">
        <v>84</v>
      </c>
      <c r="B18" s="49">
        <f>PASS</f>
        <v>43992</v>
      </c>
      <c r="C18" s="53">
        <f>Chiffres!B19</f>
        <v>2.5000000000000001E-3</v>
      </c>
      <c r="D18" s="49">
        <f>IF(ROUND(B18*C18,0)&lt;206,ROUND(B18*C18,0),206)</f>
        <v>110</v>
      </c>
      <c r="E18" s="53"/>
      <c r="F18" s="49"/>
      <c r="G18" s="52">
        <f>D18-F18</f>
        <v>110</v>
      </c>
    </row>
    <row r="19" spans="1:7" ht="15.75" thickTop="1">
      <c r="A19" s="199" t="s">
        <v>81</v>
      </c>
      <c r="B19" s="200"/>
      <c r="C19" s="200"/>
      <c r="D19" s="200"/>
      <c r="E19" s="200"/>
      <c r="F19" s="200"/>
      <c r="G19" s="201"/>
    </row>
    <row r="20" spans="1:7">
      <c r="A20" s="44"/>
      <c r="B20" s="46" t="s">
        <v>42</v>
      </c>
      <c r="C20" s="204" t="s">
        <v>43</v>
      </c>
      <c r="D20" s="204"/>
      <c r="E20" s="204" t="s">
        <v>40</v>
      </c>
      <c r="F20" s="204"/>
      <c r="G20" s="47" t="s">
        <v>44</v>
      </c>
    </row>
    <row r="21" spans="1:7" ht="15.75" thickBot="1">
      <c r="A21" s="48" t="s">
        <v>81</v>
      </c>
      <c r="B21" s="49" t="e">
        <f>G1</f>
        <v>#REF!</v>
      </c>
      <c r="C21" s="53">
        <f>Chiffres!B20</f>
        <v>5.0000000000000001E-3</v>
      </c>
      <c r="D21" s="49" t="e">
        <f>IF(ROUND(B21*C21,0)&lt;ROUND(PASS*0.005,0),ROUND(B21*C21,0),ROUND(PASS*0.005,0))</f>
        <v>#REF!</v>
      </c>
      <c r="E21" s="53"/>
      <c r="F21" s="49"/>
      <c r="G21" s="52" t="e">
        <f>D21-F21</f>
        <v>#REF!</v>
      </c>
    </row>
    <row r="22" spans="1:7" ht="15.75" thickTop="1">
      <c r="A22" s="196" t="s">
        <v>53</v>
      </c>
      <c r="B22" s="197"/>
      <c r="C22" s="197"/>
      <c r="D22" s="197"/>
      <c r="E22" s="197"/>
      <c r="F22" s="197"/>
      <c r="G22" s="198"/>
    </row>
    <row r="23" spans="1:7">
      <c r="A23" s="44"/>
      <c r="B23" s="46" t="s">
        <v>42</v>
      </c>
      <c r="C23" s="204" t="s">
        <v>43</v>
      </c>
      <c r="D23" s="204"/>
      <c r="E23" s="204" t="s">
        <v>40</v>
      </c>
      <c r="F23" s="204"/>
      <c r="G23" s="47" t="s">
        <v>44</v>
      </c>
    </row>
    <row r="24" spans="1:7">
      <c r="A24" s="59" t="s">
        <v>55</v>
      </c>
      <c r="B24" s="55" t="e">
        <f>IF(G1&gt;PASS,PASS,IF(G1&lt;PASS*0.115,ROUND(PASS*0.115,0),G1))</f>
        <v>#REF!</v>
      </c>
      <c r="C24" s="56">
        <f>Chiffres!B23</f>
        <v>8.2299999999999998E-2</v>
      </c>
      <c r="D24" s="55" t="e">
        <f>ROUND(B24*C24,0)</f>
        <v>#REF!</v>
      </c>
      <c r="E24" s="56">
        <f>Chiffres!B26</f>
        <v>1.95E-2</v>
      </c>
      <c r="F24" s="55" t="e">
        <f>ROUND(B24*E24,0)</f>
        <v>#REF!</v>
      </c>
      <c r="G24" s="60" t="e">
        <f>D24-F24</f>
        <v>#REF!</v>
      </c>
    </row>
    <row r="25" spans="1:7" ht="15.75" thickBot="1">
      <c r="A25" s="48" t="s">
        <v>56</v>
      </c>
      <c r="B25" s="49" t="e">
        <f>IF(G1&gt;PASS_5xPASS,PASS_5xPASS,IF(G1&lt;PASS*0.115,ROUND(PASS*0.115,0),G1))</f>
        <v>#REF!</v>
      </c>
      <c r="C25" s="50">
        <f>Chiffres!B24</f>
        <v>1.8700000000000001E-2</v>
      </c>
      <c r="D25" s="49" t="e">
        <f>ROUND(B25*C25,0)</f>
        <v>#REF!</v>
      </c>
      <c r="E25" s="50">
        <f>Chiffres!B27</f>
        <v>2.8E-3</v>
      </c>
      <c r="F25" s="49" t="e">
        <f>ROUND(B25*E25,0)</f>
        <v>#REF!</v>
      </c>
      <c r="G25" s="52" t="e">
        <f>D25-F25</f>
        <v>#REF!</v>
      </c>
    </row>
    <row r="26" spans="1:7" ht="15.75" thickTop="1">
      <c r="A26" s="196" t="s">
        <v>61</v>
      </c>
      <c r="B26" s="197"/>
      <c r="C26" s="197"/>
      <c r="D26" s="197"/>
      <c r="E26" s="197"/>
      <c r="F26" s="197"/>
      <c r="G26" s="198"/>
    </row>
    <row r="27" spans="1:7">
      <c r="A27" s="44"/>
      <c r="B27" s="46" t="s">
        <v>42</v>
      </c>
      <c r="C27" s="204" t="s">
        <v>43</v>
      </c>
      <c r="D27" s="204"/>
      <c r="E27" s="204" t="s">
        <v>40</v>
      </c>
      <c r="F27" s="204"/>
      <c r="G27" s="47" t="s">
        <v>44</v>
      </c>
    </row>
    <row r="28" spans="1:7" ht="15.75" thickBot="1">
      <c r="A28" s="59" t="s">
        <v>62</v>
      </c>
      <c r="B28" s="55" t="e">
        <f>IF(G1&gt;PASS_3.5xPASS,PASS_3.5xPASS,G1)</f>
        <v>#REF!</v>
      </c>
      <c r="C28" s="56">
        <f>Chiffres!B29</f>
        <v>0.1</v>
      </c>
      <c r="D28" s="55" t="e">
        <f>ROUND(B28*C28,0)</f>
        <v>#REF!</v>
      </c>
      <c r="E28" s="56"/>
      <c r="F28" s="55"/>
      <c r="G28" s="60" t="e">
        <f>D28-F28</f>
        <v>#REF!</v>
      </c>
    </row>
    <row r="29" spans="1:7" ht="15.75" thickTop="1">
      <c r="A29" s="196" t="s">
        <v>65</v>
      </c>
      <c r="B29" s="197"/>
      <c r="C29" s="197"/>
      <c r="D29" s="197"/>
      <c r="E29" s="197"/>
      <c r="F29" s="197"/>
      <c r="G29" s="198"/>
    </row>
    <row r="30" spans="1:7">
      <c r="A30" s="44"/>
      <c r="B30" s="46" t="s">
        <v>42</v>
      </c>
      <c r="C30" s="204" t="s">
        <v>43</v>
      </c>
      <c r="D30" s="204"/>
      <c r="E30" s="204" t="s">
        <v>40</v>
      </c>
      <c r="F30" s="204"/>
      <c r="G30" s="47" t="s">
        <v>44</v>
      </c>
    </row>
    <row r="31" spans="1:7">
      <c r="A31" s="59" t="s">
        <v>66</v>
      </c>
      <c r="B31" s="55"/>
      <c r="C31" s="56"/>
      <c r="D31" s="55"/>
      <c r="E31" s="56"/>
      <c r="F31" s="55"/>
      <c r="G31" s="60">
        <f>Chiffres!B32</f>
        <v>1874</v>
      </c>
    </row>
    <row r="32" spans="1:7" ht="15.75" thickBot="1">
      <c r="A32" s="48" t="s">
        <v>69</v>
      </c>
      <c r="B32" s="49" t="e">
        <f>IF(G1&gt;PASS_5xPASS,PASS_5xPASS,G1)</f>
        <v>#REF!</v>
      </c>
      <c r="C32" s="63">
        <f>Chiffres!B33</f>
        <v>1.2666999999999999E-2</v>
      </c>
      <c r="D32" s="49" t="e">
        <f>ROUND(B32*C32,0)</f>
        <v>#REF!</v>
      </c>
      <c r="E32" s="50"/>
      <c r="F32" s="49"/>
      <c r="G32" s="52" t="e">
        <f>D32-F32</f>
        <v>#REF!</v>
      </c>
    </row>
    <row r="33" spans="1:7" ht="15.75" thickTop="1">
      <c r="A33" s="196" t="s">
        <v>70</v>
      </c>
      <c r="B33" s="197"/>
      <c r="C33" s="197"/>
      <c r="D33" s="197"/>
      <c r="E33" s="197"/>
      <c r="F33" s="197"/>
      <c r="G33" s="198"/>
    </row>
    <row r="34" spans="1:7">
      <c r="A34" s="44"/>
      <c r="B34" s="46" t="s">
        <v>42</v>
      </c>
      <c r="C34" s="204" t="s">
        <v>43</v>
      </c>
      <c r="D34" s="204"/>
      <c r="E34" s="204" t="s">
        <v>40</v>
      </c>
      <c r="F34" s="204"/>
      <c r="G34" s="47" t="s">
        <v>44</v>
      </c>
    </row>
    <row r="35" spans="1:7" ht="15.75" thickBot="1">
      <c r="A35" s="59" t="s">
        <v>71</v>
      </c>
      <c r="B35" s="55"/>
      <c r="C35" s="56"/>
      <c r="D35" s="55"/>
      <c r="E35" s="56"/>
      <c r="F35" s="55"/>
      <c r="G35" s="60" t="e">
        <f>IF(G1&lt;PASS,Chiffres!B36,IF(G1&gt;PASS_3xPASS,Chiffres!B38,IF(AND(G1&gt;PASS,G1&lt;PASS_3xPASS),Chiffres!B37,0)))</f>
        <v>#REF!</v>
      </c>
    </row>
    <row r="36" spans="1:7" ht="30.75" customHeight="1" thickTop="1" thickBot="1">
      <c r="A36" s="205" t="s">
        <v>79</v>
      </c>
      <c r="B36" s="206"/>
      <c r="C36" s="206"/>
      <c r="D36" s="206"/>
      <c r="E36" s="206"/>
      <c r="F36" s="206"/>
      <c r="G36" s="67" t="e">
        <f>G35+G32+G31+G28+G25+G24+G15+G12+G9+G18+G21</f>
        <v>#REF!</v>
      </c>
    </row>
    <row r="37" spans="1:7" ht="15.75" thickTop="1">
      <c r="A37" s="207" t="s">
        <v>80</v>
      </c>
      <c r="B37" s="207"/>
    </row>
    <row r="38" spans="1:7">
      <c r="A38">
        <f>Chiffres!A42</f>
        <v>0</v>
      </c>
      <c r="B38">
        <f>Chiffres!B42</f>
        <v>11294</v>
      </c>
      <c r="C38" t="e">
        <f>IF($G$1&lt;A39,1,0)</f>
        <v>#REF!</v>
      </c>
      <c r="D38" s="4" t="e">
        <f>IF(C38=1,Chiffres!C42,0)</f>
        <v>#REF!</v>
      </c>
    </row>
    <row r="39" spans="1:7">
      <c r="A39">
        <f>Chiffres!A43</f>
        <v>11295</v>
      </c>
      <c r="B39">
        <f>Chiffres!B43</f>
        <v>28797</v>
      </c>
      <c r="C39" t="e">
        <f>IF(AND($G$1&lt;A40,$G$1&gt;B38),1,0)</f>
        <v>#REF!</v>
      </c>
      <c r="D39" s="4" t="e">
        <f>IF(C39=1,Chiffres!C43,0)</f>
        <v>#REF!</v>
      </c>
    </row>
    <row r="40" spans="1:7">
      <c r="A40">
        <f>Chiffres!A44</f>
        <v>28798</v>
      </c>
      <c r="B40">
        <f>Chiffres!B44</f>
        <v>82341</v>
      </c>
      <c r="C40" t="e">
        <f t="shared" ref="C40" si="0">IF(AND($G$1&lt;A41,$G$1&gt;B39),1,0)</f>
        <v>#REF!</v>
      </c>
      <c r="D40" s="4" t="e">
        <f>IF(C40=1,Chiffres!C44,0)</f>
        <v>#REF!</v>
      </c>
    </row>
    <row r="41" spans="1:7">
      <c r="A41">
        <f>Chiffres!A45</f>
        <v>82342</v>
      </c>
      <c r="B41">
        <f>Chiffres!B45</f>
        <v>177106</v>
      </c>
      <c r="C41" t="e">
        <f>IF(AND($G$1&lt;A42,$G$1&gt;B40),1,0)</f>
        <v>#REF!</v>
      </c>
      <c r="D41" s="4" t="e">
        <f>IF(C41=1,Chiffres!C45,0)</f>
        <v>#REF!</v>
      </c>
    </row>
    <row r="42" spans="1:7">
      <c r="A42">
        <f>Chiffres!A46</f>
        <v>177107</v>
      </c>
      <c r="B42">
        <f>Chiffres!B46</f>
        <v>0</v>
      </c>
      <c r="C42" t="e">
        <f>IF($G$1&gt;B41,1,0)</f>
        <v>#REF!</v>
      </c>
      <c r="D42" s="4" t="e">
        <f>IF(C42=1,Chiffres!C46,0)</f>
        <v>#REF!</v>
      </c>
    </row>
    <row r="43" spans="1:7">
      <c r="D43" s="6" t="e">
        <f>SUM(D38:D42)</f>
        <v>#REF!</v>
      </c>
    </row>
    <row r="44" spans="1:7">
      <c r="A44" t="e">
        <f>"Pour information, taux marginal d'IR = "&amp;D43*100&amp;" % pour un revenu de "&amp;G1&amp;" € (NB : pour 1 part et seulement des revenus médicaux… à affiner le cas échéant)"</f>
        <v>#REF!</v>
      </c>
    </row>
  </sheetData>
  <mergeCells count="30">
    <mergeCell ref="A33:G33"/>
    <mergeCell ref="C34:D34"/>
    <mergeCell ref="E34:F34"/>
    <mergeCell ref="A36:F36"/>
    <mergeCell ref="A37:B37"/>
    <mergeCell ref="A26:G26"/>
    <mergeCell ref="C27:D27"/>
    <mergeCell ref="E27:F27"/>
    <mergeCell ref="A29:G29"/>
    <mergeCell ref="C30:D30"/>
    <mergeCell ref="E30:F30"/>
    <mergeCell ref="A19:G19"/>
    <mergeCell ref="C20:D20"/>
    <mergeCell ref="E20:F20"/>
    <mergeCell ref="A22:G22"/>
    <mergeCell ref="C23:D23"/>
    <mergeCell ref="E23:F23"/>
    <mergeCell ref="A13:G13"/>
    <mergeCell ref="C14:D14"/>
    <mergeCell ref="E14:F14"/>
    <mergeCell ref="A16:G16"/>
    <mergeCell ref="C17:D17"/>
    <mergeCell ref="E17:F17"/>
    <mergeCell ref="C11:D11"/>
    <mergeCell ref="E11:F11"/>
    <mergeCell ref="A1:F1"/>
    <mergeCell ref="A2:G2"/>
    <mergeCell ref="C8:D8"/>
    <mergeCell ref="E8:F8"/>
    <mergeCell ref="A10:G10"/>
  </mergeCells>
  <pageMargins left="0.7" right="0.7" top="0.75" bottom="0.75" header="0.3" footer="0.3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topLeftCell="A34" workbookViewId="0">
      <selection activeCell="F64" sqref="F64"/>
    </sheetView>
  </sheetViews>
  <sheetFormatPr baseColWidth="10" defaultRowHeight="15"/>
  <cols>
    <col min="1" max="1" width="19.5703125" bestFit="1" customWidth="1"/>
  </cols>
  <sheetData>
    <row r="1" spans="1:5" ht="15.75" thickBot="1">
      <c r="A1" t="s">
        <v>28</v>
      </c>
      <c r="B1" s="40">
        <v>43992</v>
      </c>
    </row>
    <row r="2" spans="1:5">
      <c r="A2" t="s">
        <v>29</v>
      </c>
    </row>
    <row r="3" spans="1:5">
      <c r="A3" t="s">
        <v>30</v>
      </c>
      <c r="B3">
        <f>ROUND(B1*1.4,0)</f>
        <v>61589</v>
      </c>
      <c r="E3" t="s">
        <v>90</v>
      </c>
    </row>
    <row r="4" spans="1:5">
      <c r="A4" t="s">
        <v>31</v>
      </c>
      <c r="B4">
        <f>ROUND(B1*2.5,0)</f>
        <v>109980</v>
      </c>
      <c r="E4" t="s">
        <v>139</v>
      </c>
    </row>
    <row r="5" spans="1:5">
      <c r="A5" t="s">
        <v>32</v>
      </c>
      <c r="B5">
        <f>ROUND(PASS*5,0)</f>
        <v>219960</v>
      </c>
    </row>
    <row r="6" spans="1:5">
      <c r="A6" t="s">
        <v>33</v>
      </c>
      <c r="B6">
        <f>ROUND(PASS*3,0)</f>
        <v>131976</v>
      </c>
    </row>
    <row r="7" spans="1:5">
      <c r="A7" t="s">
        <v>63</v>
      </c>
      <c r="B7">
        <f>ROUND(PASS*3.5,0)</f>
        <v>153972</v>
      </c>
    </row>
    <row r="8" spans="1:5" ht="15.75" thickBot="1">
      <c r="A8" t="s">
        <v>36</v>
      </c>
    </row>
    <row r="9" spans="1:5" ht="15.75" thickBot="1">
      <c r="A9" t="s">
        <v>34</v>
      </c>
      <c r="B9" s="42">
        <v>0</v>
      </c>
    </row>
    <row r="10" spans="1:5" ht="15.75" thickBot="1">
      <c r="A10" t="s">
        <v>35</v>
      </c>
      <c r="B10" s="42">
        <v>3.1E-2</v>
      </c>
    </row>
    <row r="11" spans="1:5" ht="15.75" thickBot="1">
      <c r="A11" t="s">
        <v>37</v>
      </c>
    </row>
    <row r="12" spans="1:5" ht="15.75" thickBot="1">
      <c r="A12" t="s">
        <v>34</v>
      </c>
      <c r="B12" s="42">
        <v>0.75</v>
      </c>
    </row>
    <row r="13" spans="1:5" ht="15.75" thickBot="1">
      <c r="A13" t="s">
        <v>35</v>
      </c>
      <c r="B13" s="42">
        <v>0.6</v>
      </c>
    </row>
    <row r="14" spans="1:5" ht="15.75" thickBot="1"/>
    <row r="15" spans="1:5" ht="15.75" thickBot="1">
      <c r="A15" t="s">
        <v>46</v>
      </c>
      <c r="B15" s="42">
        <v>6.5000000000000002E-2</v>
      </c>
    </row>
    <row r="16" spans="1:5" ht="15.75" thickBot="1">
      <c r="A16" t="s">
        <v>47</v>
      </c>
      <c r="B16" s="43">
        <v>6.4000000000000001E-2</v>
      </c>
    </row>
    <row r="17" spans="1:2" ht="15.75" thickBot="1"/>
    <row r="18" spans="1:2" ht="15.75" thickBot="1">
      <c r="A18" t="s">
        <v>49</v>
      </c>
      <c r="B18" s="42">
        <v>9.7000000000000003E-2</v>
      </c>
    </row>
    <row r="19" spans="1:2" ht="15.75" thickBot="1">
      <c r="A19" t="s">
        <v>83</v>
      </c>
      <c r="B19" s="42">
        <v>2.5000000000000001E-3</v>
      </c>
    </row>
    <row r="20" spans="1:2" ht="15.75" thickBot="1">
      <c r="A20" t="s">
        <v>82</v>
      </c>
      <c r="B20" s="42">
        <v>5.0000000000000001E-3</v>
      </c>
    </row>
    <row r="22" spans="1:2" ht="15.75" thickBot="1">
      <c r="A22" t="s">
        <v>57</v>
      </c>
    </row>
    <row r="23" spans="1:2" ht="15.75" thickBot="1">
      <c r="A23" t="s">
        <v>58</v>
      </c>
      <c r="B23" s="58">
        <v>8.2299999999999998E-2</v>
      </c>
    </row>
    <row r="24" spans="1:2" ht="15.75" thickBot="1">
      <c r="A24" t="s">
        <v>59</v>
      </c>
      <c r="B24" s="57">
        <v>1.8700000000000001E-2</v>
      </c>
    </row>
    <row r="25" spans="1:2" ht="15.75" thickBot="1">
      <c r="A25" t="s">
        <v>60</v>
      </c>
    </row>
    <row r="26" spans="1:2" ht="15.75" thickBot="1">
      <c r="A26" t="s">
        <v>58</v>
      </c>
      <c r="B26" s="58">
        <v>1.95E-2</v>
      </c>
    </row>
    <row r="27" spans="1:2" ht="15.75" thickBot="1">
      <c r="A27" t="s">
        <v>59</v>
      </c>
      <c r="B27" s="57">
        <v>2.8E-3</v>
      </c>
    </row>
    <row r="28" spans="1:2" ht="15.75" thickBot="1">
      <c r="A28" t="s">
        <v>62</v>
      </c>
    </row>
    <row r="29" spans="1:2" ht="15.75" thickBot="1">
      <c r="A29" t="s">
        <v>64</v>
      </c>
      <c r="B29" s="62">
        <v>0.1</v>
      </c>
    </row>
    <row r="31" spans="1:2" ht="15.75" thickBot="1">
      <c r="A31" t="s">
        <v>65</v>
      </c>
    </row>
    <row r="32" spans="1:2" ht="15.75" thickBot="1">
      <c r="A32" t="s">
        <v>67</v>
      </c>
      <c r="B32" s="64">
        <v>1874</v>
      </c>
    </row>
    <row r="33" spans="1:3" ht="15.75" thickBot="1">
      <c r="A33" t="s">
        <v>68</v>
      </c>
      <c r="B33" s="58">
        <v>1.2666999999999999E-2</v>
      </c>
    </row>
    <row r="35" spans="1:3" ht="15.75" thickBot="1">
      <c r="A35" t="s">
        <v>72</v>
      </c>
    </row>
    <row r="36" spans="1:3" ht="15.75" thickBot="1">
      <c r="A36" t="s">
        <v>73</v>
      </c>
      <c r="B36" s="64">
        <v>631</v>
      </c>
    </row>
    <row r="37" spans="1:3" ht="15.75" thickBot="1">
      <c r="A37" t="s">
        <v>74</v>
      </c>
      <c r="B37" s="61">
        <v>738</v>
      </c>
    </row>
    <row r="38" spans="1:3" ht="15.75" thickBot="1">
      <c r="A38" t="s">
        <v>75</v>
      </c>
      <c r="B38" s="66">
        <v>828</v>
      </c>
    </row>
    <row r="40" spans="1:3">
      <c r="A40" t="s">
        <v>76</v>
      </c>
    </row>
    <row r="41" spans="1:3">
      <c r="A41" t="s">
        <v>77</v>
      </c>
      <c r="B41" t="s">
        <v>78</v>
      </c>
    </row>
    <row r="42" spans="1:3">
      <c r="A42">
        <v>0</v>
      </c>
      <c r="B42">
        <v>11294</v>
      </c>
      <c r="C42" s="6">
        <v>0</v>
      </c>
    </row>
    <row r="43" spans="1:3">
      <c r="A43">
        <f>B42+1</f>
        <v>11295</v>
      </c>
      <c r="B43">
        <v>28797</v>
      </c>
      <c r="C43" s="6">
        <v>0.11</v>
      </c>
    </row>
    <row r="44" spans="1:3">
      <c r="A44">
        <f t="shared" ref="A44:A46" si="0">B43+1</f>
        <v>28798</v>
      </c>
      <c r="B44">
        <v>82341</v>
      </c>
      <c r="C44" s="6">
        <v>0.3</v>
      </c>
    </row>
    <row r="45" spans="1:3">
      <c r="A45">
        <f t="shared" si="0"/>
        <v>82342</v>
      </c>
      <c r="B45">
        <v>177106</v>
      </c>
      <c r="C45" s="6">
        <v>0.41</v>
      </c>
    </row>
    <row r="46" spans="1:3">
      <c r="A46">
        <f t="shared" si="0"/>
        <v>177107</v>
      </c>
      <c r="C46" s="6">
        <v>0.45</v>
      </c>
    </row>
    <row r="49" spans="1:7">
      <c r="A49" t="s">
        <v>94</v>
      </c>
    </row>
    <row r="50" spans="1:7">
      <c r="A50" t="s">
        <v>97</v>
      </c>
    </row>
    <row r="51" spans="1:7">
      <c r="A51" t="s">
        <v>91</v>
      </c>
    </row>
    <row r="52" spans="1:7">
      <c r="A52" t="s">
        <v>92</v>
      </c>
    </row>
    <row r="53" spans="1:7">
      <c r="A53" t="s">
        <v>93</v>
      </c>
    </row>
    <row r="55" spans="1:7">
      <c r="A55" t="s">
        <v>96</v>
      </c>
      <c r="B55" t="s">
        <v>77</v>
      </c>
      <c r="C55" t="s">
        <v>78</v>
      </c>
      <c r="E55">
        <f>'CALCUL MEDEC. SECTEUR '!E20</f>
        <v>0</v>
      </c>
      <c r="F55">
        <f>'CALCUL MEDEC. SECTEUR '!H12+'CALCUL MEDEC. SECTEUR '!H14</f>
        <v>0</v>
      </c>
    </row>
    <row r="56" spans="1:7">
      <c r="A56" t="str">
        <f>A50</f>
        <v>Omnipraticiens</v>
      </c>
      <c r="B56">
        <v>0</v>
      </c>
      <c r="C56">
        <v>9100</v>
      </c>
      <c r="D56">
        <v>770</v>
      </c>
      <c r="E56">
        <f>IF($E$55=A56,1,0)</f>
        <v>0</v>
      </c>
      <c r="F56">
        <f>IF($F$55&lt;B57,D56,0)</f>
        <v>770</v>
      </c>
      <c r="G56">
        <f t="shared" ref="G56:G90" si="1">E56*F56</f>
        <v>0</v>
      </c>
    </row>
    <row r="57" spans="1:7">
      <c r="A57" t="str">
        <f>A56</f>
        <v>Omnipraticiens</v>
      </c>
      <c r="B57">
        <f>C56+1</f>
        <v>9101</v>
      </c>
      <c r="C57">
        <v>12150</v>
      </c>
      <c r="D57">
        <v>920</v>
      </c>
      <c r="E57">
        <f t="shared" ref="E57:E64" si="2">IF($E$55=A57,1,0)</f>
        <v>0</v>
      </c>
      <c r="F57">
        <f>IF(AND($F$55&gt;C56,$F$55&lt;B58),D57,0)</f>
        <v>0</v>
      </c>
      <c r="G57">
        <f t="shared" si="1"/>
        <v>0</v>
      </c>
    </row>
    <row r="58" spans="1:7">
      <c r="A58" t="str">
        <f t="shared" ref="A58:A64" si="3">A57</f>
        <v>Omnipraticiens</v>
      </c>
      <c r="B58">
        <f t="shared" ref="B58:B64" si="4">C57+1</f>
        <v>12151</v>
      </c>
      <c r="C58">
        <v>15200</v>
      </c>
      <c r="D58">
        <v>1220</v>
      </c>
      <c r="E58">
        <f t="shared" si="2"/>
        <v>0</v>
      </c>
      <c r="F58">
        <f t="shared" ref="F58:F63" si="5">IF(AND($F$55&gt;C57,$F$55&lt;B59),D58,0)</f>
        <v>0</v>
      </c>
      <c r="G58">
        <f t="shared" si="1"/>
        <v>0</v>
      </c>
    </row>
    <row r="59" spans="1:7">
      <c r="A59" t="str">
        <f t="shared" si="3"/>
        <v>Omnipraticiens</v>
      </c>
      <c r="B59">
        <f t="shared" si="4"/>
        <v>15201</v>
      </c>
      <c r="C59">
        <v>18250</v>
      </c>
      <c r="D59">
        <v>1530</v>
      </c>
      <c r="E59">
        <f t="shared" si="2"/>
        <v>0</v>
      </c>
      <c r="F59">
        <f t="shared" si="5"/>
        <v>0</v>
      </c>
      <c r="G59">
        <f t="shared" si="1"/>
        <v>0</v>
      </c>
    </row>
    <row r="60" spans="1:7">
      <c r="A60" t="str">
        <f t="shared" si="3"/>
        <v>Omnipraticiens</v>
      </c>
      <c r="B60">
        <f t="shared" si="4"/>
        <v>18251</v>
      </c>
      <c r="C60">
        <v>21300</v>
      </c>
      <c r="D60">
        <v>1830</v>
      </c>
      <c r="E60">
        <f t="shared" si="2"/>
        <v>0</v>
      </c>
      <c r="F60">
        <f t="shared" si="5"/>
        <v>0</v>
      </c>
      <c r="G60">
        <f t="shared" si="1"/>
        <v>0</v>
      </c>
    </row>
    <row r="61" spans="1:7">
      <c r="A61" t="str">
        <f t="shared" si="3"/>
        <v>Omnipraticiens</v>
      </c>
      <c r="B61">
        <f t="shared" si="4"/>
        <v>21301</v>
      </c>
      <c r="C61">
        <v>24350</v>
      </c>
      <c r="D61">
        <v>2140</v>
      </c>
      <c r="E61">
        <f t="shared" si="2"/>
        <v>0</v>
      </c>
      <c r="F61">
        <f t="shared" si="5"/>
        <v>0</v>
      </c>
      <c r="G61">
        <f t="shared" si="1"/>
        <v>0</v>
      </c>
    </row>
    <row r="62" spans="1:7">
      <c r="A62" t="str">
        <f t="shared" si="3"/>
        <v>Omnipraticiens</v>
      </c>
      <c r="B62">
        <f t="shared" si="4"/>
        <v>24351</v>
      </c>
      <c r="C62">
        <v>27400</v>
      </c>
      <c r="D62">
        <v>2440</v>
      </c>
      <c r="E62">
        <f t="shared" si="2"/>
        <v>0</v>
      </c>
      <c r="F62">
        <f t="shared" si="5"/>
        <v>0</v>
      </c>
      <c r="G62">
        <f t="shared" si="1"/>
        <v>0</v>
      </c>
    </row>
    <row r="63" spans="1:7">
      <c r="A63" t="str">
        <f t="shared" si="3"/>
        <v>Omnipraticiens</v>
      </c>
      <c r="B63">
        <f t="shared" si="4"/>
        <v>27401</v>
      </c>
      <c r="C63">
        <v>30450</v>
      </c>
      <c r="D63">
        <v>2750</v>
      </c>
      <c r="E63">
        <f>IF($E$55=A63,1,0)</f>
        <v>0</v>
      </c>
      <c r="F63">
        <f t="shared" si="5"/>
        <v>0</v>
      </c>
      <c r="G63">
        <f t="shared" si="1"/>
        <v>0</v>
      </c>
    </row>
    <row r="64" spans="1:7">
      <c r="A64" t="str">
        <f t="shared" si="3"/>
        <v>Omnipraticiens</v>
      </c>
      <c r="B64">
        <f t="shared" si="4"/>
        <v>30451</v>
      </c>
      <c r="D64">
        <v>3050</v>
      </c>
      <c r="E64">
        <f t="shared" si="2"/>
        <v>0</v>
      </c>
      <c r="F64">
        <f>IF($F$55&gt;C63,D64,0)</f>
        <v>0</v>
      </c>
      <c r="G64">
        <f t="shared" si="1"/>
        <v>0</v>
      </c>
    </row>
    <row r="65" spans="1:7">
      <c r="A65" t="str">
        <f>A51</f>
        <v>Spécialistes médicaux</v>
      </c>
      <c r="B65">
        <v>0</v>
      </c>
      <c r="C65">
        <v>9100</v>
      </c>
      <c r="D65">
        <v>770</v>
      </c>
      <c r="E65">
        <f>IF($E$55=A65,1,0)</f>
        <v>0</v>
      </c>
      <c r="F65">
        <f>IF($F$55&lt;B66,D65,0)</f>
        <v>770</v>
      </c>
      <c r="G65">
        <f t="shared" si="1"/>
        <v>0</v>
      </c>
    </row>
    <row r="66" spans="1:7">
      <c r="A66" t="str">
        <f>A65</f>
        <v>Spécialistes médicaux</v>
      </c>
      <c r="B66">
        <f>C65+1</f>
        <v>9101</v>
      </c>
      <c r="C66">
        <v>12150</v>
      </c>
      <c r="D66">
        <v>920</v>
      </c>
      <c r="E66">
        <f t="shared" ref="E66:E73" si="6">IF($E$55=A66,1,0)</f>
        <v>0</v>
      </c>
      <c r="F66">
        <f>IF(AND($F$55&gt;C65,$F$55&lt;B67),D66,0)</f>
        <v>0</v>
      </c>
      <c r="G66">
        <f t="shared" si="1"/>
        <v>0</v>
      </c>
    </row>
    <row r="67" spans="1:7">
      <c r="A67" t="str">
        <f t="shared" ref="A67:A73" si="7">A66</f>
        <v>Spécialistes médicaux</v>
      </c>
      <c r="B67">
        <f t="shared" ref="B67:B73" si="8">C66+1</f>
        <v>12151</v>
      </c>
      <c r="C67">
        <v>16750</v>
      </c>
      <c r="D67">
        <v>1220</v>
      </c>
      <c r="E67">
        <f t="shared" si="6"/>
        <v>0</v>
      </c>
      <c r="F67">
        <f t="shared" ref="F67:F72" si="9">IF(AND($F$55&gt;C66,$F$55&lt;B68),D67,0)</f>
        <v>0</v>
      </c>
      <c r="G67">
        <f t="shared" si="1"/>
        <v>0</v>
      </c>
    </row>
    <row r="68" spans="1:7">
      <c r="A68" t="str">
        <f t="shared" si="7"/>
        <v>Spécialistes médicaux</v>
      </c>
      <c r="B68">
        <f t="shared" si="8"/>
        <v>16751</v>
      </c>
      <c r="C68">
        <v>19800</v>
      </c>
      <c r="D68">
        <v>1530</v>
      </c>
      <c r="E68">
        <f t="shared" si="6"/>
        <v>0</v>
      </c>
      <c r="F68">
        <f t="shared" si="9"/>
        <v>0</v>
      </c>
      <c r="G68">
        <f t="shared" si="1"/>
        <v>0</v>
      </c>
    </row>
    <row r="69" spans="1:7">
      <c r="A69" t="str">
        <f t="shared" si="7"/>
        <v>Spécialistes médicaux</v>
      </c>
      <c r="B69">
        <f t="shared" si="8"/>
        <v>19801</v>
      </c>
      <c r="C69">
        <v>22850</v>
      </c>
      <c r="D69">
        <v>1830</v>
      </c>
      <c r="E69">
        <f t="shared" si="6"/>
        <v>0</v>
      </c>
      <c r="F69">
        <f t="shared" si="9"/>
        <v>0</v>
      </c>
      <c r="G69">
        <f t="shared" si="1"/>
        <v>0</v>
      </c>
    </row>
    <row r="70" spans="1:7">
      <c r="A70" t="str">
        <f t="shared" si="7"/>
        <v>Spécialistes médicaux</v>
      </c>
      <c r="B70">
        <f t="shared" si="8"/>
        <v>22851</v>
      </c>
      <c r="C70">
        <v>25900</v>
      </c>
      <c r="D70">
        <v>2140</v>
      </c>
      <c r="E70">
        <f t="shared" si="6"/>
        <v>0</v>
      </c>
      <c r="F70">
        <f t="shared" si="9"/>
        <v>0</v>
      </c>
      <c r="G70">
        <f t="shared" si="1"/>
        <v>0</v>
      </c>
    </row>
    <row r="71" spans="1:7">
      <c r="A71" t="str">
        <f t="shared" si="7"/>
        <v>Spécialistes médicaux</v>
      </c>
      <c r="B71">
        <f t="shared" si="8"/>
        <v>25901</v>
      </c>
      <c r="C71">
        <v>28950</v>
      </c>
      <c r="D71">
        <v>2440</v>
      </c>
      <c r="E71">
        <f t="shared" si="6"/>
        <v>0</v>
      </c>
      <c r="F71">
        <f t="shared" si="9"/>
        <v>0</v>
      </c>
      <c r="G71">
        <f t="shared" si="1"/>
        <v>0</v>
      </c>
    </row>
    <row r="72" spans="1:7">
      <c r="A72" t="str">
        <f t="shared" si="7"/>
        <v>Spécialistes médicaux</v>
      </c>
      <c r="B72">
        <f t="shared" si="8"/>
        <v>28951</v>
      </c>
      <c r="C72">
        <v>32000</v>
      </c>
      <c r="D72">
        <v>2750</v>
      </c>
      <c r="E72">
        <f t="shared" si="6"/>
        <v>0</v>
      </c>
      <c r="F72">
        <f t="shared" si="9"/>
        <v>0</v>
      </c>
      <c r="G72">
        <f t="shared" si="1"/>
        <v>0</v>
      </c>
    </row>
    <row r="73" spans="1:7">
      <c r="A73" t="str">
        <f t="shared" si="7"/>
        <v>Spécialistes médicaux</v>
      </c>
      <c r="B73">
        <f t="shared" si="8"/>
        <v>32001</v>
      </c>
      <c r="D73">
        <v>3050</v>
      </c>
      <c r="E73">
        <f t="shared" si="6"/>
        <v>0</v>
      </c>
      <c r="F73">
        <f>IF($F$55&gt;C72,D73,0)</f>
        <v>0</v>
      </c>
      <c r="G73">
        <f t="shared" si="1"/>
        <v>0</v>
      </c>
    </row>
    <row r="74" spans="1:7">
      <c r="A74" t="str">
        <f>A52</f>
        <v>Chirurgiens et spécialistes chirurgicaux</v>
      </c>
      <c r="B74">
        <v>0</v>
      </c>
      <c r="C74">
        <v>9100</v>
      </c>
      <c r="D74">
        <v>770</v>
      </c>
      <c r="E74">
        <f>IF($E$55=A74,1,0)</f>
        <v>0</v>
      </c>
      <c r="F74">
        <f>IF($F$55&lt;B75,D74,0)</f>
        <v>770</v>
      </c>
      <c r="G74">
        <f t="shared" si="1"/>
        <v>0</v>
      </c>
    </row>
    <row r="75" spans="1:7">
      <c r="A75" t="str">
        <f>A74</f>
        <v>Chirurgiens et spécialistes chirurgicaux</v>
      </c>
      <c r="B75">
        <f>C74+1</f>
        <v>9101</v>
      </c>
      <c r="C75">
        <v>15200</v>
      </c>
      <c r="D75">
        <v>920</v>
      </c>
      <c r="E75">
        <f t="shared" ref="E75:E82" si="10">IF($E$55=A75,1,0)</f>
        <v>0</v>
      </c>
      <c r="F75">
        <f>IF(AND($F$55&gt;C74,$F$55&lt;B76),D75,0)</f>
        <v>0</v>
      </c>
      <c r="G75">
        <f t="shared" si="1"/>
        <v>0</v>
      </c>
    </row>
    <row r="76" spans="1:7">
      <c r="A76" t="str">
        <f t="shared" ref="A76:A82" si="11">A75</f>
        <v>Chirurgiens et spécialistes chirurgicaux</v>
      </c>
      <c r="B76">
        <f t="shared" ref="B76:B82" si="12">C75+1</f>
        <v>15201</v>
      </c>
      <c r="C76">
        <v>18250</v>
      </c>
      <c r="D76">
        <v>1220</v>
      </c>
      <c r="E76">
        <f t="shared" si="10"/>
        <v>0</v>
      </c>
      <c r="F76">
        <f t="shared" ref="F76:F81" si="13">IF(AND($F$55&gt;C75,$F$55&lt;B77),D76,0)</f>
        <v>0</v>
      </c>
      <c r="G76">
        <f t="shared" si="1"/>
        <v>0</v>
      </c>
    </row>
    <row r="77" spans="1:7">
      <c r="A77" t="str">
        <f t="shared" si="11"/>
        <v>Chirurgiens et spécialistes chirurgicaux</v>
      </c>
      <c r="B77">
        <f t="shared" si="12"/>
        <v>18251</v>
      </c>
      <c r="C77">
        <v>22850</v>
      </c>
      <c r="D77">
        <v>1530</v>
      </c>
      <c r="E77">
        <f t="shared" si="10"/>
        <v>0</v>
      </c>
      <c r="F77">
        <f t="shared" si="13"/>
        <v>0</v>
      </c>
      <c r="G77">
        <f t="shared" si="1"/>
        <v>0</v>
      </c>
    </row>
    <row r="78" spans="1:7">
      <c r="A78" t="str">
        <f t="shared" si="11"/>
        <v>Chirurgiens et spécialistes chirurgicaux</v>
      </c>
      <c r="B78">
        <f t="shared" si="12"/>
        <v>22851</v>
      </c>
      <c r="C78">
        <v>27400</v>
      </c>
      <c r="D78">
        <v>1830</v>
      </c>
      <c r="E78">
        <f t="shared" si="10"/>
        <v>0</v>
      </c>
      <c r="F78">
        <f t="shared" si="13"/>
        <v>0</v>
      </c>
      <c r="G78">
        <f t="shared" si="1"/>
        <v>0</v>
      </c>
    </row>
    <row r="79" spans="1:7">
      <c r="A79" t="str">
        <f t="shared" si="11"/>
        <v>Chirurgiens et spécialistes chirurgicaux</v>
      </c>
      <c r="B79">
        <f t="shared" si="12"/>
        <v>27401</v>
      </c>
      <c r="C79">
        <v>30450</v>
      </c>
      <c r="D79">
        <v>2140</v>
      </c>
      <c r="E79">
        <f t="shared" si="10"/>
        <v>0</v>
      </c>
      <c r="F79">
        <f t="shared" si="13"/>
        <v>0</v>
      </c>
      <c r="G79">
        <f t="shared" si="1"/>
        <v>0</v>
      </c>
    </row>
    <row r="80" spans="1:7">
      <c r="A80" t="str">
        <f t="shared" si="11"/>
        <v>Chirurgiens et spécialistes chirurgicaux</v>
      </c>
      <c r="B80">
        <f t="shared" si="12"/>
        <v>30451</v>
      </c>
      <c r="C80">
        <v>33500</v>
      </c>
      <c r="D80">
        <v>2440</v>
      </c>
      <c r="E80">
        <f t="shared" si="10"/>
        <v>0</v>
      </c>
      <c r="F80">
        <f t="shared" si="13"/>
        <v>0</v>
      </c>
      <c r="G80">
        <f t="shared" si="1"/>
        <v>0</v>
      </c>
    </row>
    <row r="81" spans="1:7">
      <c r="A81" t="str">
        <f t="shared" si="11"/>
        <v>Chirurgiens et spécialistes chirurgicaux</v>
      </c>
      <c r="B81">
        <f t="shared" si="12"/>
        <v>33501</v>
      </c>
      <c r="C81">
        <v>36550</v>
      </c>
      <c r="D81">
        <v>2750</v>
      </c>
      <c r="E81">
        <f t="shared" si="10"/>
        <v>0</v>
      </c>
      <c r="F81">
        <f t="shared" si="13"/>
        <v>0</v>
      </c>
      <c r="G81">
        <f t="shared" si="1"/>
        <v>0</v>
      </c>
    </row>
    <row r="82" spans="1:7">
      <c r="A82" t="str">
        <f t="shared" si="11"/>
        <v>Chirurgiens et spécialistes chirurgicaux</v>
      </c>
      <c r="B82">
        <f t="shared" si="12"/>
        <v>36551</v>
      </c>
      <c r="D82">
        <v>3050</v>
      </c>
      <c r="E82">
        <f t="shared" si="10"/>
        <v>0</v>
      </c>
      <c r="F82">
        <f>IF($F$55&gt;C81,D82,0)</f>
        <v>0</v>
      </c>
      <c r="G82">
        <f t="shared" si="1"/>
        <v>0</v>
      </c>
    </row>
    <row r="83" spans="1:7">
      <c r="A83" t="str">
        <f>A53</f>
        <v>Électroradiologistes qualifiés</v>
      </c>
      <c r="B83">
        <v>0</v>
      </c>
      <c r="C83">
        <v>15200</v>
      </c>
      <c r="D83">
        <v>770</v>
      </c>
      <c r="E83">
        <f>IF($E$55=A83,1,0)</f>
        <v>0</v>
      </c>
      <c r="F83">
        <f>IF($F$55&lt;B84,D83,0)</f>
        <v>770</v>
      </c>
      <c r="G83">
        <f t="shared" si="1"/>
        <v>0</v>
      </c>
    </row>
    <row r="84" spans="1:7">
      <c r="A84" t="str">
        <f>A83</f>
        <v>Électroradiologistes qualifiés</v>
      </c>
      <c r="B84">
        <f>C83+1</f>
        <v>15201</v>
      </c>
      <c r="C84">
        <v>24350</v>
      </c>
      <c r="D84">
        <v>920</v>
      </c>
      <c r="E84">
        <f t="shared" ref="E84:E91" si="14">IF($E$55=A84,1,0)</f>
        <v>0</v>
      </c>
      <c r="F84">
        <f>IF(AND($F$55&gt;C83,$F$55&lt;B85),D84,0)</f>
        <v>0</v>
      </c>
      <c r="G84">
        <f t="shared" si="1"/>
        <v>0</v>
      </c>
    </row>
    <row r="85" spans="1:7">
      <c r="A85" t="str">
        <f t="shared" ref="A85:A91" si="15">A84</f>
        <v>Électroradiologistes qualifiés</v>
      </c>
      <c r="B85">
        <f t="shared" ref="B85:B91" si="16">C84+1</f>
        <v>24351</v>
      </c>
      <c r="C85">
        <v>33500</v>
      </c>
      <c r="D85">
        <v>1220</v>
      </c>
      <c r="E85">
        <f t="shared" si="14"/>
        <v>0</v>
      </c>
      <c r="F85">
        <f t="shared" ref="F85:F90" si="17">IF(AND($F$55&gt;C84,$F$55&lt;B86),D85,0)</f>
        <v>0</v>
      </c>
      <c r="G85">
        <f t="shared" si="1"/>
        <v>0</v>
      </c>
    </row>
    <row r="86" spans="1:7">
      <c r="A86" t="str">
        <f t="shared" si="15"/>
        <v>Électroradiologistes qualifiés</v>
      </c>
      <c r="B86">
        <f t="shared" si="16"/>
        <v>33501</v>
      </c>
      <c r="C86">
        <v>41150</v>
      </c>
      <c r="D86">
        <v>1530</v>
      </c>
      <c r="E86">
        <f t="shared" si="14"/>
        <v>0</v>
      </c>
      <c r="F86">
        <f t="shared" si="17"/>
        <v>0</v>
      </c>
      <c r="G86">
        <f t="shared" si="1"/>
        <v>0</v>
      </c>
    </row>
    <row r="87" spans="1:7">
      <c r="A87" t="str">
        <f t="shared" si="15"/>
        <v>Électroradiologistes qualifiés</v>
      </c>
      <c r="B87">
        <f t="shared" si="16"/>
        <v>41151</v>
      </c>
      <c r="C87">
        <v>48750</v>
      </c>
      <c r="D87">
        <v>1830</v>
      </c>
      <c r="E87">
        <f t="shared" si="14"/>
        <v>0</v>
      </c>
      <c r="F87">
        <f t="shared" si="17"/>
        <v>0</v>
      </c>
      <c r="G87">
        <f t="shared" si="1"/>
        <v>0</v>
      </c>
    </row>
    <row r="88" spans="1:7">
      <c r="A88" t="str">
        <f t="shared" si="15"/>
        <v>Électroradiologistes qualifiés</v>
      </c>
      <c r="B88">
        <f t="shared" si="16"/>
        <v>48751</v>
      </c>
      <c r="C88">
        <v>51800</v>
      </c>
      <c r="D88">
        <v>2140</v>
      </c>
      <c r="E88">
        <f t="shared" si="14"/>
        <v>0</v>
      </c>
      <c r="F88">
        <f t="shared" si="17"/>
        <v>0</v>
      </c>
      <c r="G88">
        <f t="shared" si="1"/>
        <v>0</v>
      </c>
    </row>
    <row r="89" spans="1:7">
      <c r="A89" t="str">
        <f t="shared" si="15"/>
        <v>Électroradiologistes qualifiés</v>
      </c>
      <c r="B89">
        <f t="shared" si="16"/>
        <v>51801</v>
      </c>
      <c r="C89">
        <v>57900</v>
      </c>
      <c r="D89">
        <v>2440</v>
      </c>
      <c r="E89">
        <f t="shared" si="14"/>
        <v>0</v>
      </c>
      <c r="F89">
        <f t="shared" si="17"/>
        <v>0</v>
      </c>
      <c r="G89">
        <f t="shared" si="1"/>
        <v>0</v>
      </c>
    </row>
    <row r="90" spans="1:7">
      <c r="A90" t="str">
        <f t="shared" si="15"/>
        <v>Électroradiologistes qualifiés</v>
      </c>
      <c r="B90">
        <f t="shared" si="16"/>
        <v>57901</v>
      </c>
      <c r="C90">
        <v>64000</v>
      </c>
      <c r="D90">
        <v>2750</v>
      </c>
      <c r="E90">
        <f t="shared" si="14"/>
        <v>0</v>
      </c>
      <c r="F90">
        <f t="shared" si="17"/>
        <v>0</v>
      </c>
      <c r="G90">
        <f t="shared" si="1"/>
        <v>0</v>
      </c>
    </row>
    <row r="91" spans="1:7">
      <c r="A91" t="str">
        <f t="shared" si="15"/>
        <v>Électroradiologistes qualifiés</v>
      </c>
      <c r="B91">
        <f t="shared" si="16"/>
        <v>64001</v>
      </c>
      <c r="D91">
        <v>3050</v>
      </c>
      <c r="E91">
        <f t="shared" si="14"/>
        <v>0</v>
      </c>
      <c r="F91">
        <f>IF($F$55&gt;C90,D91,0)</f>
        <v>0</v>
      </c>
      <c r="G91">
        <f>E91*F91</f>
        <v>0</v>
      </c>
    </row>
    <row r="92" spans="1:7">
      <c r="G92">
        <f>SUM(G56:G91)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C33" sqref="C33"/>
    </sheetView>
  </sheetViews>
  <sheetFormatPr baseColWidth="10" defaultRowHeight="15"/>
  <cols>
    <col min="1" max="1" width="47.7109375" customWidth="1"/>
    <col min="2" max="2" width="11.42578125" customWidth="1"/>
  </cols>
  <sheetData>
    <row r="1" spans="1:10" ht="15.75" thickBot="1"/>
    <row r="2" spans="1:10">
      <c r="B2" s="76" t="s">
        <v>27</v>
      </c>
      <c r="C2" s="69" t="s">
        <v>89</v>
      </c>
      <c r="G2" t="s">
        <v>27</v>
      </c>
      <c r="H2" t="s">
        <v>89</v>
      </c>
    </row>
    <row r="3" spans="1:10">
      <c r="A3" s="68" t="s">
        <v>41</v>
      </c>
      <c r="B3" s="77" t="e">
        <f>AGA!G9</f>
        <v>#REF!</v>
      </c>
      <c r="C3" s="70" t="e">
        <f>'sans AGA'!G9</f>
        <v>#REF!</v>
      </c>
      <c r="F3" t="s">
        <v>131</v>
      </c>
      <c r="G3">
        <f>'CALCUL MEDEC. SECTEUR '!F31</f>
        <v>0</v>
      </c>
      <c r="H3" t="e">
        <f>C36</f>
        <v>#REF!</v>
      </c>
      <c r="J3" t="s">
        <v>132</v>
      </c>
    </row>
    <row r="4" spans="1:10">
      <c r="A4" s="68" t="s">
        <v>45</v>
      </c>
      <c r="B4" s="77" t="e">
        <f>AGA!G12</f>
        <v>#REF!</v>
      </c>
      <c r="C4" s="70" t="e">
        <f>'sans AGA'!G12</f>
        <v>#REF!</v>
      </c>
      <c r="G4" s="6"/>
      <c r="H4" s="86" t="e">
        <f>IF(H3&gt;G3,H3-G3,G3-H3)</f>
        <v>#REF!</v>
      </c>
      <c r="J4" t="s">
        <v>133</v>
      </c>
    </row>
    <row r="5" spans="1:10">
      <c r="A5" s="68" t="s">
        <v>48</v>
      </c>
      <c r="B5" s="77" t="e">
        <f>AGA!G15</f>
        <v>#REF!</v>
      </c>
      <c r="C5" s="70" t="e">
        <f>'sans AGA'!G15</f>
        <v>#REF!</v>
      </c>
      <c r="H5" t="e">
        <f>ROUND(H4*FORMULAIRE!G28,0)</f>
        <v>#REF!</v>
      </c>
    </row>
    <row r="6" spans="1:10">
      <c r="A6" s="68" t="s">
        <v>84</v>
      </c>
      <c r="B6" s="77">
        <f>AGA!G18</f>
        <v>110</v>
      </c>
      <c r="C6" s="70">
        <f>'sans AGA'!G18</f>
        <v>110</v>
      </c>
    </row>
    <row r="7" spans="1:10" ht="15.75" thickBot="1">
      <c r="A7" s="71" t="s">
        <v>81</v>
      </c>
      <c r="B7" s="78" t="e">
        <f>AGA!G21</f>
        <v>#REF!</v>
      </c>
      <c r="C7" s="72" t="e">
        <f>'sans AGA'!G21</f>
        <v>#REF!</v>
      </c>
    </row>
    <row r="8" spans="1:10" ht="15.75" thickBot="1">
      <c r="A8" s="75" t="s">
        <v>85</v>
      </c>
      <c r="B8" s="75" t="e">
        <f>SUM(B3:B7)</f>
        <v>#REF!</v>
      </c>
      <c r="C8" s="41" t="e">
        <f>SUM(C3:C7)</f>
        <v>#REF!</v>
      </c>
    </row>
    <row r="9" spans="1:10">
      <c r="A9" s="73" t="s">
        <v>54</v>
      </c>
      <c r="B9" s="79" t="e">
        <f>AGA!G24+AGA!G25</f>
        <v>#REF!</v>
      </c>
      <c r="C9" s="74" t="e">
        <f>'sans AGA'!G24+'sans AGA'!G25</f>
        <v>#REF!</v>
      </c>
    </row>
    <row r="10" spans="1:10">
      <c r="A10" s="68" t="s">
        <v>86</v>
      </c>
      <c r="B10" s="77" t="e">
        <f>AGA!G28</f>
        <v>#REF!</v>
      </c>
      <c r="C10" s="70" t="e">
        <f>'sans AGA'!G28</f>
        <v>#REF!</v>
      </c>
    </row>
    <row r="11" spans="1:10">
      <c r="A11" s="68" t="s">
        <v>65</v>
      </c>
      <c r="B11" s="77" t="e">
        <f>AGA!G31+AGA!G32</f>
        <v>#REF!</v>
      </c>
      <c r="C11" s="70" t="e">
        <f>'sans AGA'!G31+'sans AGA'!G32</f>
        <v>#REF!</v>
      </c>
    </row>
    <row r="12" spans="1:10" ht="15.75" thickBot="1">
      <c r="A12" s="71" t="s">
        <v>87</v>
      </c>
      <c r="B12" s="78" t="e">
        <f>AGA!G35</f>
        <v>#REF!</v>
      </c>
      <c r="C12" s="72" t="e">
        <f>'sans AGA'!G35</f>
        <v>#REF!</v>
      </c>
    </row>
    <row r="13" spans="1:10" ht="15.75" thickBot="1">
      <c r="A13" s="75" t="s">
        <v>88</v>
      </c>
      <c r="B13" s="75" t="e">
        <f>SUM(B9:B12)</f>
        <v>#REF!</v>
      </c>
      <c r="C13" s="41" t="e">
        <f>SUM(C9:C12)</f>
        <v>#REF!</v>
      </c>
    </row>
    <row r="14" spans="1:10" ht="15.75" thickBot="1">
      <c r="A14" s="75" t="s">
        <v>79</v>
      </c>
      <c r="B14" s="75" t="e">
        <f>B8+B13</f>
        <v>#REF!</v>
      </c>
      <c r="C14" s="65" t="e">
        <f>C13+C8</f>
        <v>#REF!</v>
      </c>
    </row>
    <row r="15" spans="1:10">
      <c r="A15" t="e">
        <f>IF(AND(C19&gt;B19,C17&gt;0),"Soit une économie de Charges Sociales d'un montant de "&amp;C17&amp;" €  (Total charges sociales avec MAINTIEN DES AVANTAGES OGA ["&amp;B14&amp;" €] - Total charges sociales avec CUMUL DES ABATTEMENTS ["&amp;C14&amp;" €] = "&amp;C17&amp;" €)",IF(AND(B19&gt;C19,B17&gt;0),"Soit une économie de Charges Sociales d'un montant de "&amp;B17&amp;" €  (Total charges sociales avec CUMUL DES ABATTEMENTS ["&amp;C14&amp;" €] - Total charges sociales avec MAINTIEN DES AVANTAGES OGA ["&amp;B14&amp;" €] = "&amp;B17&amp;" €)",IF(AND(C19&gt;B19,C17&lt;0),"Soit un surcoût de Charges Sociales d'un montant de "&amp;B17&amp;" €  (Total charges sociales avec CUMUL DES ABATTEMENTS ["&amp;C14&amp;" €] - Total charges sociales avec MAINTIEN DES AVANTAGES OGA ["&amp;B14&amp;" €] = "&amp;C17&amp;" €)",IF(AND(B19&gt;C19,B17&lt;0),"Soit un surcoût de Charges Sociales d'un montant de "&amp;C17&amp;" €  (Total charges sociales avec MAINTIEN DES AVANTAGES OGA ["&amp;B14&amp;" €] - Total charges sociales avec CUMUL DES ABATTEMENTS ["&amp;C14&amp;" €] = "&amp;C17&amp;" €)",IF(B17=C17,"Aucune économie en terme de charges sociales : cotisations identiques quelle que soit l'option retenue","")))))</f>
        <v>#REF!</v>
      </c>
    </row>
    <row r="16" spans="1:10">
      <c r="A16" t="e">
        <f>IF(AND(C19&gt;B19,C18&gt;0),"Économie d'IR d'un montant de "&amp;C18&amp;" €  (Base IR avec MAINTIEN DES AVANTAGES OGA ["&amp;G3&amp;" €] - Base IR avec CUMUL DES ABATTEMENTS ["&amp;H3&amp;" €]) x Tranche marginale supérieure IR ["&amp;FORMULAIRE!G28*100&amp;"%] = "&amp;H5&amp;" €",IF(AND(B19&gt;C19,B18&gt;0),"Économie d'IR d'un montant de "&amp;B18&amp;" € (Base IR avec CUMUL DES ABATTEMENTS ["&amp;H3&amp;" €] - Base IR avec MAINTIEN DES AVANTAGES OGA ["&amp;G3&amp;" €]) x Tranche marginale supérieure IR ["&amp;FORMULAIRE!G28*100&amp;"%] = "&amp;H5&amp;" €",IF(AND(C19&gt;B19,C18&lt;0),"Soit un surcoût d'IR d'un montant de "&amp;H5&amp;" €  (Base IR avec CUMUL DES ABATTEMENTS ["&amp;H3&amp;" €] - Base IR avec MAINTIEN DES AVANTAGES OGA ["&amp;G3&amp;" €]) x Tranche marginale supérieure IR ["&amp;FORMULAIRE!G28*100&amp;"%] = "&amp;H5&amp;" €",IF(AND(B19&gt;C19,B18&lt;0),"Soit un surcoût d'IR d'un montant de "&amp;H5&amp;" €  (Base IR avec CUMUL DES ABATTEMENTS ["&amp;H3&amp;" €] - Base IR avec MAINTIEN DES AVANTAGES OGA ["&amp;G3&amp;" €]) x Tranche marginale supérieure IR ["&amp;FORMULAIRE!G28*100&amp;"%] = "&amp;H5&amp;" €",""))))</f>
        <v>#REF!</v>
      </c>
    </row>
    <row r="17" spans="1:4">
      <c r="A17" t="e">
        <f>IF(AND(C19&gt;B19,C17&gt;0),"Économie Charges Sociales",IF(AND(B19&gt;C19,B17&gt;0),"Économie Charges Sociales","Surcoût Charges Sociales"))</f>
        <v>#REF!</v>
      </c>
      <c r="B17" t="e">
        <f>C14-B14</f>
        <v>#REF!</v>
      </c>
      <c r="C17" t="e">
        <f>B14-C14</f>
        <v>#REF!</v>
      </c>
      <c r="D17" t="e">
        <f>IF($C$19&gt;$B$19,C17,B17)</f>
        <v>#REF!</v>
      </c>
    </row>
    <row r="18" spans="1:4">
      <c r="A18" t="e">
        <f>IF(AND(C19&gt;B19,C18&gt;0),"Économie IR",IF(AND(B19&gt;C19,B18&gt;0),"Économie IR","Surcoût IR"))</f>
        <v>#REF!</v>
      </c>
      <c r="B18">
        <f>ROUND(('CALCUL MEDEC. SECTEUR '!L31-'CALCUL MEDEC. SECTEUR '!F31)*'CALCUL MEDEC. SECTEUR '!H18,0)</f>
        <v>0</v>
      </c>
      <c r="C18">
        <f>ROUND(('CALCUL MEDEC. SECTEUR '!F31-'CALCUL MEDEC. SECTEUR '!L31)*'CALCUL MEDEC. SECTEUR '!H18,0)</f>
        <v>0</v>
      </c>
      <c r="D18" t="e">
        <f t="shared" ref="D18:D19" si="0">IF($C$19&gt;$B$19,C18,B18)</f>
        <v>#REF!</v>
      </c>
    </row>
    <row r="19" spans="1:4">
      <c r="B19" t="e">
        <f>B17+B18</f>
        <v>#REF!</v>
      </c>
      <c r="C19" t="e">
        <f>C17+C18</f>
        <v>#REF!</v>
      </c>
      <c r="D19" t="e">
        <f t="shared" si="0"/>
        <v>#REF!</v>
      </c>
    </row>
    <row r="21" spans="1:4">
      <c r="A21" t="e">
        <f>IF(C19&gt;B19,Chiffres!E4,Chiffres!E3)</f>
        <v>#REF!</v>
      </c>
    </row>
    <row r="22" spans="1:4">
      <c r="A22" t="s">
        <v>98</v>
      </c>
    </row>
    <row r="23" spans="1:4">
      <c r="A23" t="s">
        <v>134</v>
      </c>
    </row>
    <row r="24" spans="1:4">
      <c r="A24" t="s">
        <v>136</v>
      </c>
      <c r="B24" t="e">
        <f>IF(C19&gt;B19,-('CALCUL MEDEC. SECTEUR '!L24+'CALCUL MEDEC. SECTEUR '!L25+'CALCUL MEDEC. SECTEUR '!L26),-'CALCUL MEDEC. SECTEUR '!F24)</f>
        <v>#REF!</v>
      </c>
    </row>
    <row r="25" spans="1:4">
      <c r="A25" t="e">
        <f>IF(B25&gt;0,"Rubrique CP (Bénéfice) :","Rubrique CR (Déficit) :")</f>
        <v>#REF!</v>
      </c>
      <c r="B25" t="e">
        <f>IF(C19&gt;B19,C34,B34)</f>
        <v>#REF!</v>
      </c>
    </row>
    <row r="26" spans="1:4">
      <c r="A26" t="s">
        <v>135</v>
      </c>
    </row>
    <row r="27" spans="1:4">
      <c r="A27" t="e">
        <f>IF(C19&gt;B19,"Report du résultat ("&amp;C34&amp;" €) en Rubrique 5QI (décla. 1), 5RI (décla. 2) ou 5SI (personne à charge) ","Report du résultat ("&amp;B34&amp;") € en Rubrique 5QC (Déclarant 1), 5RC (déclarant 2) ou 5SC (personne à charge)")</f>
        <v>#REF!</v>
      </c>
    </row>
    <row r="30" spans="1:4">
      <c r="A30" t="s">
        <v>141</v>
      </c>
      <c r="B30">
        <f>'CALCUL MEDEC. SECTEUR '!H15</f>
        <v>0</v>
      </c>
      <c r="C30" t="e">
        <f>B30+B40-C40</f>
        <v>#REF!</v>
      </c>
    </row>
    <row r="31" spans="1:4">
      <c r="A31" t="str">
        <f>"- Déduction forfait 2%"</f>
        <v>- Déduction forfait 2%</v>
      </c>
      <c r="B31">
        <f>'CALCUL MEDEC. SECTEUR '!F24</f>
        <v>0</v>
      </c>
      <c r="C31">
        <f>'CALCUL MEDEC. SECTEUR '!L24</f>
        <v>0</v>
      </c>
    </row>
    <row r="32" spans="1:4">
      <c r="A32" t="str">
        <f>"- Abattement 3%"</f>
        <v>- Abattement 3%</v>
      </c>
      <c r="C32">
        <f>'CALCUL MEDEC. SECTEUR '!L25</f>
        <v>0</v>
      </c>
    </row>
    <row r="33" spans="1:5">
      <c r="A33" t="str">
        <f>"- Abattement Groupe III"</f>
        <v>- Abattement Groupe III</v>
      </c>
      <c r="C33">
        <f>'CALCUL MEDEC. SECTEUR '!L26</f>
        <v>0</v>
      </c>
    </row>
    <row r="34" spans="1:5">
      <c r="A34" t="s">
        <v>142</v>
      </c>
      <c r="B34">
        <f>B30+B31</f>
        <v>0</v>
      </c>
      <c r="C34" t="e">
        <f>SUM(C30:C33)</f>
        <v>#REF!</v>
      </c>
    </row>
    <row r="35" spans="1:5">
      <c r="A35" t="s">
        <v>143</v>
      </c>
      <c r="C35" t="e">
        <f>IF(C34&lt;0,0,ROUND(C34*0.1,0))</f>
        <v>#REF!</v>
      </c>
    </row>
    <row r="36" spans="1:5">
      <c r="A36" t="s">
        <v>110</v>
      </c>
      <c r="B36">
        <f>B34</f>
        <v>0</v>
      </c>
      <c r="C36" t="e">
        <f>C34+C35</f>
        <v>#REF!</v>
      </c>
    </row>
    <row r="38" spans="1:5">
      <c r="A38" t="s">
        <v>140</v>
      </c>
      <c r="B38">
        <f>B34</f>
        <v>0</v>
      </c>
      <c r="C38" t="e">
        <f>C34</f>
        <v>#REF!</v>
      </c>
    </row>
    <row r="39" spans="1:5">
      <c r="A39" t="str">
        <f>"+ Cotisations facultatives (Madelin et Nvx PER)"</f>
        <v>+ Cotisations facultatives (Madelin et Nvx PER)</v>
      </c>
      <c r="B39" t="e">
        <f>'CALCUL MEDEC. SECTEUR '!L27</f>
        <v>#REF!</v>
      </c>
      <c r="C39" t="e">
        <f>B39</f>
        <v>#REF!</v>
      </c>
      <c r="D39" t="s">
        <v>127</v>
      </c>
      <c r="E39" t="s">
        <v>128</v>
      </c>
    </row>
    <row r="40" spans="1:5">
      <c r="A40" t="str">
        <f>"+ Exonérations (ZFU, ZRR, Permanence des soins)"</f>
        <v>+ Exonérations (ZFU, ZRR, Permanence des soins)</v>
      </c>
      <c r="B40" t="e">
        <f>'CALCUL MEDEC. SECTEUR '!F28</f>
        <v>#REF!</v>
      </c>
      <c r="C40" t="e">
        <f>'FORMULAIRE A COMPLETER'!#REF!+D40+E40</f>
        <v>#REF!</v>
      </c>
      <c r="D40" t="e">
        <f>ROUND(((B30+B40+C31+C32+C33-'FORMULAIRE A COMPLETER'!#REF!)*'FORMULAIRE A COMPLETER'!#REF!*'FORMULAIRE A COMPLETER'!#REF!/12)+((B30+B40+C31+C32+C33-'FORMULAIRE A COMPLETER'!#REF!)*'FORMULAIRE A COMPLETER'!#REF!*'FORMULAIRE A COMPLETER'!#REF!/12),0)</f>
        <v>#REF!</v>
      </c>
      <c r="E40" t="e">
        <f>ROUND(((B30+B40+C31+C32+C33)*'FORMULAIRE A COMPLETER'!#REF!*'FORMULAIRE A COMPLETER'!#REF!/12)+((B30+B40+C31+C32+C33)*'FORMULAIRE A COMPLETER'!#REF!*'FORMULAIRE A COMPLETER'!#REF!/12),0)</f>
        <v>#REF!</v>
      </c>
    </row>
    <row r="41" spans="1:5">
      <c r="A41" t="s">
        <v>144</v>
      </c>
      <c r="B41" t="e">
        <f>'CALCUL MEDEC. SECTEUR '!F29</f>
        <v>#REF!</v>
      </c>
      <c r="C41" t="e">
        <f>C38+C39+C40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14</vt:i4>
      </vt:variant>
    </vt:vector>
  </HeadingPairs>
  <TitlesOfParts>
    <vt:vector size="24" baseType="lpstr">
      <vt:lpstr>FORMULAIRE</vt:lpstr>
      <vt:lpstr>FORMULAIRE A COMPLETER</vt:lpstr>
      <vt:lpstr>COMPARATIF</vt:lpstr>
      <vt:lpstr>CALCUL MEDEC. SECTEUR </vt:lpstr>
      <vt:lpstr>CALCUL TAUX CHARGES SOC</vt:lpstr>
      <vt:lpstr>AGA</vt:lpstr>
      <vt:lpstr>sans AGA</vt:lpstr>
      <vt:lpstr>Chiffres</vt:lpstr>
      <vt:lpstr>tableau</vt:lpstr>
      <vt:lpstr>DÉTAIL DES ABATTEMENTS FISCAUX</vt:lpstr>
      <vt:lpstr>Cat_groupeIII</vt:lpstr>
      <vt:lpstr>FORMULAIRE_OK</vt:lpstr>
      <vt:lpstr>PASS</vt:lpstr>
      <vt:lpstr>PASS_1.4xPASS</vt:lpstr>
      <vt:lpstr>PASS_2.5xPASS</vt:lpstr>
      <vt:lpstr>PASS_3.5xPASS</vt:lpstr>
      <vt:lpstr>PASS_3xPASS</vt:lpstr>
      <vt:lpstr>PASS_5xPASS</vt:lpstr>
      <vt:lpstr>'CALCUL MEDEC. SECTEUR '!Print_Area</vt:lpstr>
      <vt:lpstr>COMPARATIF!Print_Area</vt:lpstr>
      <vt:lpstr>'DÉTAIL DES ABATTEMENTS FISCAUX'!Print_Area</vt:lpstr>
      <vt:lpstr>Taux_IR</vt:lpstr>
      <vt:lpstr>COMPARATIF!Zone_d_impression</vt:lpstr>
      <vt:lpstr>'DÉTAIL DES ABATTEMENTS FISCAUX'!Zone_d_impression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Poste116</dc:creator>
  <cp:lastModifiedBy>YL</cp:lastModifiedBy>
  <cp:lastPrinted>2023-01-03T13:29:38Z</cp:lastPrinted>
  <dcterms:created xsi:type="dcterms:W3CDTF">2022-10-26T06:29:58Z</dcterms:created>
  <dcterms:modified xsi:type="dcterms:W3CDTF">2024-04-26T11:17:49Z</dcterms:modified>
</cp:coreProperties>
</file>